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795" tabRatio="867" activeTab="0"/>
  </bookViews>
  <sheets>
    <sheet name="Introduction" sheetId="1" r:id="rId1"/>
    <sheet name="Cost calculator " sheetId="2" r:id="rId2"/>
    <sheet name="Coefficient summary" sheetId="3" r:id="rId3"/>
    <sheet name="Hospital part 1 details" sheetId="4" r:id="rId4"/>
    <sheet name="Hospital part 2 GLM details" sheetId="5" r:id="rId5"/>
    <sheet name="Hospital part 2 OLS details" sheetId="6" r:id="rId6"/>
    <sheet name="Non-hospital details" sheetId="7" r:id="rId7"/>
  </sheets>
  <definedNames/>
  <calcPr fullCalcOnLoad="1"/>
</workbook>
</file>

<file path=xl/comments3.xml><?xml version="1.0" encoding="utf-8"?>
<comments xmlns="http://schemas.openxmlformats.org/spreadsheetml/2006/main">
  <authors>
    <author>Alastair Gray</author>
  </authors>
  <commentList>
    <comment ref="D17" authorId="0">
      <text>
        <r>
          <rPr>
            <sz val="8"/>
            <rFont val="Tahoma"/>
            <family val="0"/>
          </rPr>
          <t xml:space="preserve">assumed this can only occur in hospital
</t>
        </r>
      </text>
    </comment>
    <comment ref="D18" authorId="0">
      <text>
        <r>
          <rPr>
            <sz val="8"/>
            <rFont val="Tahoma"/>
            <family val="0"/>
          </rPr>
          <t xml:space="preserve">assumed this can only occur in hospital
</t>
        </r>
      </text>
    </comment>
  </commentList>
</comments>
</file>

<file path=xl/comments4.xml><?xml version="1.0" encoding="utf-8"?>
<comments xmlns="http://schemas.openxmlformats.org/spreadsheetml/2006/main">
  <authors>
    <author>Phillip Clarke</author>
  </authors>
  <commentList>
    <comment ref="A2" authorId="0">
      <text>
        <r>
          <rPr>
            <b/>
            <sz val="8"/>
            <rFont val="Tahoma"/>
            <family val="0"/>
          </rPr>
          <t>STATA code /*~~~~~~~~~~~~~~~~~~~~~~~~~~~~~~~~~~~~~~~~~~~~~~~~~~~~~~~~~~~~~~~~~~~~~~~~~~~~~~~~~*/
/*      Estimation of cost by endpoint                                        */
/*These files are reported in the UKPDS manuscript "The impact of diabetes-related complications 
/* on health care costs: results from the UKPDS                                                                                      */
/*                      */
/*~~~~~~~~~~~~~~~~~~~~~~~~~~~~~~~~~~~~~~~~~~~~~~~~~~~~~~~~~~~~~~~~~~~~~~~~~~~~~~~~~*/
/* Requires information on previous history of MI, stroke etc */
version 7.0
clear
set memory 20m
/*~~~~~~~~~~~~~~~~~~~For PDS data~~~~~~~~~~~~~~~~~~~~~~~~~~~~~~~~~~~~~~~~*/
/* Note fat is fatal; nf is "non-fatal"; lt is long term (i.e. all subsquent years) */ 
 use "f:\My Documents\UKPDS\Endpoint costs\endpoint-cost-work\stata\endpoint-cost-data1.dta", clear
iis ukno
tis year
replace agenow=agenow-55
/* The results of this regression match table 2 in the paper */
xtlogit costind agenow male fatmi nfmi fatstr nfstr ihd hf blind  nfmilt  nfstrlt ihdlt hflt blindlt catlt amputlt
/* The three regressions must be combined  to produce final results- to account for errors in multiplt imputation */
xtreg hcost2 agenow male  fatmi nfmi fatstr nfstr ihd hf blind amput cat nfmilt  nfstrlt ihdlt hflt blindlt catlt amputlt if hcost1&gt;0
xtreg hcost3 agenow male  fatmi nfmi fatstr nfstr ihd hf blind amput cat nfmilt  nfstrlt ihdlt hflt blindlt catlt amputlt if hcost1&gt;0
xtreg hcost4 agenow male  fatmi nfmi fatstr nfstr ihd hf blind amput cat nfmilt  nfstrlt ihdlt hflt blindlt catlt amputlt if hcost1&gt;0
xtgee hcost2 agenow male  fatmi nfmi fatstr nfstr ihd hf blind amput nfmilt  nfstrlt ihdlt hflt blindlt amputlt if hcost1&gt;0,  link(log) family(gamma) robust
xtgee hcost3 agenow male  fatmi nfmi fatstr nfstr ihd hf blind amput nfmilt  nfstrlt ihdlt hflt blindlt amputlt if hcost1&gt;0,  link(log) family(gamma) robust
xtgee hcost4 agenow male  fatmi nfmi fatstr nfstr ihd hf blind amput nfmilt  nfstrlt ihdlt hflt blindlt amputlt if hcost1&gt;0,  link(log) family(gamma) robust
:</t>
        </r>
        <r>
          <rPr>
            <sz val="8"/>
            <rFont val="Tahoma"/>
            <family val="0"/>
          </rPr>
          <t xml:space="preserve">
</t>
        </r>
      </text>
    </comment>
    <comment ref="A9" authorId="0">
      <text>
        <r>
          <rPr>
            <b/>
            <sz val="8"/>
            <rFont val="Tahoma"/>
            <family val="0"/>
          </rPr>
          <t>Agenow-55years</t>
        </r>
        <r>
          <rPr>
            <sz val="8"/>
            <rFont val="Tahoma"/>
            <family val="0"/>
          </rPr>
          <t xml:space="preserve">
</t>
        </r>
      </text>
    </comment>
  </commentList>
</comments>
</file>

<file path=xl/comments7.xml><?xml version="1.0" encoding="utf-8"?>
<comments xmlns="http://schemas.openxmlformats.org/spreadsheetml/2006/main">
  <authors>
    <author>Phillip Clarke</author>
  </authors>
  <commentList>
    <comment ref="A2" authorId="0">
      <text>
        <r>
          <rPr>
            <b/>
            <sz val="8"/>
            <rFont val="Tahoma"/>
            <family val="0"/>
          </rPr>
          <t>STATA CODE:/* Non-hospital costs */ 
use "f:\My Documents\PC Documents\UKPDS\New analysis\endpoint-cost-work\Non-hospital cost work\stata\nonhospitaldatasubsetnewNo1.dta", clear
  replace agenow=agenow-55
  drop if missing==1
  gen mac=0
  replace mac= fatmi+nfmi+fatstr+nfstr+ihd+hf+nfmilt +nfstrlt+ihdlt+hflt
  gen macspk=0
  replace  macspk=fatmi+nfmi+fatstr+nfstr+ihd+hf
  replace macspk=1 if macspk&gt;0
  gen maclt=0
  replace maclt=nfmilt +nfstrlt+ihdlt+hflt
  replace maclt=1 if maclt&gt;0
  gen mic=0
  replace mic=blind+amput+blindlt+amputlt+catlt+cat
  gen micspk=0
  replace micspk=blind+amput+cat
  replace micspk=1 if micspk&gt;0
  gen miclt=blindlt+amputlt+catlt
  replace miclt=1 if miclt&gt;0
  logit total agenow male macspk micspk maclt miclt 
  reg total agenow male macspk micspk maclt miclt if total&gt;0
  glm total agenow male macspk micspk maclt miclt if total&gt;0 , link(log) family(gamma)</t>
        </r>
        <r>
          <rPr>
            <sz val="8"/>
            <rFont val="Tahoma"/>
            <family val="0"/>
          </rPr>
          <t xml:space="preserve">
</t>
        </r>
      </text>
    </comment>
  </commentList>
</comments>
</file>

<file path=xl/sharedStrings.xml><?xml version="1.0" encoding="utf-8"?>
<sst xmlns="http://schemas.openxmlformats.org/spreadsheetml/2006/main" count="358" uniqueCount="129">
  <si>
    <t>/lnsig2u</t>
  </si>
  <si>
    <t>sigma_u</t>
  </si>
  <si>
    <t>rho</t>
  </si>
  <si>
    <t>Probability of attending hospital</t>
  </si>
  <si>
    <t xml:space="preserve">Standard error </t>
  </si>
  <si>
    <t xml:space="preserve">Coefficient </t>
  </si>
  <si>
    <t>Male (=1)</t>
  </si>
  <si>
    <t>Fatal myocardial infarction</t>
  </si>
  <si>
    <t>Non fatal MI</t>
  </si>
  <si>
    <t>Fatal stroke</t>
  </si>
  <si>
    <t>Non fatal stroke</t>
  </si>
  <si>
    <t>Angina (IHD)</t>
  </si>
  <si>
    <t>Heart failure</t>
  </si>
  <si>
    <t>Blindness in one eye</t>
  </si>
  <si>
    <t>Amputation</t>
  </si>
  <si>
    <t>Cataract extraction</t>
  </si>
  <si>
    <t xml:space="preserve">Age in years </t>
  </si>
  <si>
    <t xml:space="preserve">Constant </t>
  </si>
  <si>
    <t xml:space="preserve">Variable </t>
  </si>
  <si>
    <t xml:space="preserve">Events during year indicator </t>
  </si>
  <si>
    <t xml:space="preserve">History of Event </t>
  </si>
  <si>
    <t>agenow</t>
  </si>
  <si>
    <t>male</t>
  </si>
  <si>
    <t>_cons</t>
  </si>
  <si>
    <t>Coef.</t>
  </si>
  <si>
    <t>z</t>
  </si>
  <si>
    <t>Interval]</t>
  </si>
  <si>
    <t>Cost</t>
  </si>
  <si>
    <t>The coefficients are combined using rules for MI inference as set out in Schafer and Olsen "Multiple imputation for multivariable missing data problems: a data analyst's perpective</t>
  </si>
  <si>
    <t xml:space="preserve">Estimates from the second data set </t>
  </si>
  <si>
    <t xml:space="preserve">Estimates from the third data set </t>
  </si>
  <si>
    <t xml:space="preserve">Combined </t>
  </si>
  <si>
    <t xml:space="preserve">Final estimates </t>
  </si>
  <si>
    <t>Semi-robust</t>
  </si>
  <si>
    <t>hcost1_1</t>
  </si>
  <si>
    <t>Std. Err.</t>
  </si>
  <si>
    <t>hcost2_1</t>
  </si>
  <si>
    <t>hcost3_1</t>
  </si>
  <si>
    <t>SE</t>
  </si>
  <si>
    <t>Coefficient</t>
  </si>
  <si>
    <t>fatmi</t>
  </si>
  <si>
    <t>nfmi</t>
  </si>
  <si>
    <t>fatstr</t>
  </si>
  <si>
    <t>nfstr</t>
  </si>
  <si>
    <t>ihd</t>
  </si>
  <si>
    <t>hf</t>
  </si>
  <si>
    <t>blind</t>
  </si>
  <si>
    <t>amput</t>
  </si>
  <si>
    <t>cat</t>
  </si>
  <si>
    <t>nfmilt</t>
  </si>
  <si>
    <t>nfstrlt</t>
  </si>
  <si>
    <t>ihdlt</t>
  </si>
  <si>
    <t>hflt</t>
  </si>
  <si>
    <t>blindlt</t>
  </si>
  <si>
    <t>amputlt</t>
  </si>
  <si>
    <t>catlt</t>
  </si>
  <si>
    <t>GLM</t>
  </si>
  <si>
    <t xml:space="preserve">Probability of attending hospital </t>
  </si>
  <si>
    <t xml:space="preserve">Estimate </t>
  </si>
  <si>
    <t>95% CI</t>
  </si>
  <si>
    <t>Event indicator</t>
  </si>
  <si>
    <t>Cost of hospital care conditional on admission</t>
  </si>
  <si>
    <t>Cost of non-hospital care conditional on incurring costs</t>
  </si>
  <si>
    <t>Coefficients summary</t>
  </si>
  <si>
    <t>Hospital part 1</t>
  </si>
  <si>
    <t>Hospital part 2</t>
  </si>
  <si>
    <t>Non-hospital part 1</t>
  </si>
  <si>
    <t>Non-hospital part 2</t>
  </si>
  <si>
    <t>Probability</t>
  </si>
  <si>
    <t>Probability:</t>
  </si>
  <si>
    <t>Cost:</t>
  </si>
  <si>
    <t>Select the patient characteristics below for the year in question, and read off results</t>
  </si>
  <si>
    <t>History of Event indicator</t>
  </si>
  <si>
    <t xml:space="preserve">UKPDS Diabetes Complications Cost Calculator </t>
  </si>
  <si>
    <t>Patient's age in years</t>
  </si>
  <si>
    <t>Male?</t>
  </si>
  <si>
    <t>Results</t>
  </si>
  <si>
    <t>Estimated hospital cost per year (product of above)</t>
  </si>
  <si>
    <t>Estimated total health care costs in year (sum of above)</t>
  </si>
  <si>
    <t>OLS</t>
  </si>
  <si>
    <t>-</t>
  </si>
  <si>
    <t>Probability of incurring non-hospital costs (4 month sample period)</t>
  </si>
  <si>
    <t>Estimated non-hospital costs per year (product of above x 3)</t>
  </si>
  <si>
    <t>Logit Results</t>
  </si>
  <si>
    <t xml:space="preserve">Matches Table 3 in paper </t>
  </si>
  <si>
    <t xml:space="preserve">Hospital costs: part 1 </t>
  </si>
  <si>
    <t xml:space="preserve">This worksheet contains regression equations from three data sets with an imputed inpatient cost variable </t>
  </si>
  <si>
    <t xml:space="preserve">Hospital costs: part 2, GLM </t>
  </si>
  <si>
    <t>P&gt;z</t>
  </si>
  <si>
    <t>[95% Conf.</t>
  </si>
  <si>
    <t>Hcost2</t>
  </si>
  <si>
    <t>Hcost3</t>
  </si>
  <si>
    <t>Hcost1</t>
  </si>
  <si>
    <t>Within Imp</t>
  </si>
  <si>
    <t>Between Imp</t>
  </si>
  <si>
    <t>Total</t>
  </si>
  <si>
    <t xml:space="preserve">Non-Hospital costs </t>
  </si>
  <si>
    <t xml:space="preserve">Part 1: Logit </t>
  </si>
  <si>
    <t xml:space="preserve">Coefficent </t>
  </si>
  <si>
    <t>macspk</t>
  </si>
  <si>
    <t>micspk</t>
  </si>
  <si>
    <t>maclt</t>
  </si>
  <si>
    <t>miclt</t>
  </si>
  <si>
    <t xml:space="preserve">Part 2: OLS </t>
  </si>
  <si>
    <t xml:space="preserve">Part 2: GLM </t>
  </si>
  <si>
    <t>Variance</t>
  </si>
  <si>
    <t>z    P&gt;z</t>
  </si>
  <si>
    <t>hcost4_1</t>
  </si>
  <si>
    <t>4.71   0.000</t>
  </si>
  <si>
    <t>-2.75   0.006</t>
  </si>
  <si>
    <t>-4.18   0.000</t>
  </si>
  <si>
    <t>8.33   0.000</t>
  </si>
  <si>
    <t>3.61   0.000</t>
  </si>
  <si>
    <t>9.52   0.000</t>
  </si>
  <si>
    <t>4.16   0.000</t>
  </si>
  <si>
    <t>3.37   0.001</t>
  </si>
  <si>
    <t>2.13   0.033</t>
  </si>
  <si>
    <t>10.59   0.000</t>
  </si>
  <si>
    <t>-2.60   0.009</t>
  </si>
  <si>
    <t>3.87   0.000</t>
  </si>
  <si>
    <t>0.56   0.577</t>
  </si>
  <si>
    <t>3.92   0.000</t>
  </si>
  <si>
    <t>4.18   0.000</t>
  </si>
  <si>
    <t>0.59   0.557</t>
  </si>
  <si>
    <t>2.61   0.009</t>
  </si>
  <si>
    <t>-0.92   0.356</t>
  </si>
  <si>
    <t>21.88   0.000</t>
  </si>
  <si>
    <t>Hospital costs: part 2, OLS</t>
  </si>
  <si>
    <t xml:space="preserve">OLS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</si>
</sst>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000000"/>
    <numFmt numFmtId="175" formatCode="0.000000"/>
    <numFmt numFmtId="176" formatCode="0.00000"/>
    <numFmt numFmtId="177" formatCode="0.0"/>
    <numFmt numFmtId="178" formatCode="&quot;Yes&quot;;&quot;Yes&quot;;&quot;No&quot;"/>
    <numFmt numFmtId="179" formatCode="&quot;True&quot;;&quot;True&quot;;&quot;False&quot;"/>
    <numFmt numFmtId="180" formatCode="&quot;On&quot;;&quot;On&quot;;&quot;Off&quot;"/>
    <numFmt numFmtId="181" formatCode="_-&quot;£&quot;* #,##0_-;\-&quot;£&quot;* #,##0_-;_-&quot;£&quot;* &quot;-&quot;??_-;_-@_-"/>
    <numFmt numFmtId="182" formatCode="&quot;£&quot;#,##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_-* #,##0.0_-;\-* #,##0.0_-;_-* &quot;-&quot;??_-;_-@_-"/>
    <numFmt numFmtId="191" formatCode="_-* #,##0_-;\-* #,##0_-;_-* &quot;-&quot;??_-;_-@_-"/>
    <numFmt numFmtId="192" formatCode="_-* #,##0.000_-;\-* #,##0.000_-;_-* &quot;-&quot;??_-;_-@_-"/>
    <numFmt numFmtId="193" formatCode="_-* #,##0.0000_-;\-* #,##0.0000_-;_-* &quot;-&quot;??_-;_-@_-"/>
    <numFmt numFmtId="194" formatCode="_-* #,##0.00000_-;\-* #,##0.00000_-;_-* &quot;-&quot;??_-;_-@_-"/>
  </numFmts>
  <fonts count="26">
    <font>
      <sz val="10"/>
      <name val="Arial"/>
      <family val="0"/>
    </font>
    <font>
      <b/>
      <sz val="16"/>
      <name val="Arial"/>
      <family val="2"/>
    </font>
    <font>
      <b/>
      <i/>
      <sz val="12"/>
      <name val="Arial"/>
      <family val="2"/>
    </font>
    <font>
      <u val="single"/>
      <sz val="10"/>
      <color indexed="12"/>
      <name val="Arial"/>
      <family val="0"/>
    </font>
    <font>
      <u val="single"/>
      <sz val="10"/>
      <color indexed="36"/>
      <name val="Arial"/>
      <family val="0"/>
    </font>
    <font>
      <sz val="10"/>
      <color indexed="10"/>
      <name val="Arial"/>
      <family val="2"/>
    </font>
    <font>
      <b/>
      <sz val="12"/>
      <color indexed="10"/>
      <name val="Arial"/>
      <family val="2"/>
    </font>
    <font>
      <sz val="12"/>
      <name val="Times New Roman"/>
      <family val="1"/>
    </font>
    <font>
      <b/>
      <sz val="10"/>
      <name val="Arial"/>
      <family val="2"/>
    </font>
    <font>
      <b/>
      <i/>
      <sz val="12"/>
      <name val="Times New Roman"/>
      <family val="1"/>
    </font>
    <font>
      <b/>
      <i/>
      <sz val="10"/>
      <name val="Arial"/>
      <family val="2"/>
    </font>
    <font>
      <b/>
      <sz val="14"/>
      <name val="Arial"/>
      <family val="2"/>
    </font>
    <font>
      <b/>
      <sz val="12"/>
      <name val="Arial"/>
      <family val="2"/>
    </font>
    <font>
      <b/>
      <sz val="8"/>
      <name val="Tahoma"/>
      <family val="0"/>
    </font>
    <font>
      <sz val="8"/>
      <name val="Tahoma"/>
      <family val="2"/>
    </font>
    <font>
      <b/>
      <sz val="12"/>
      <color indexed="8"/>
      <name val="Arial"/>
      <family val="2"/>
    </font>
    <font>
      <sz val="18"/>
      <name val="Arial"/>
      <family val="2"/>
    </font>
    <font>
      <sz val="12"/>
      <name val="Arial"/>
      <family val="2"/>
    </font>
    <font>
      <sz val="11"/>
      <name val="Arial"/>
      <family val="2"/>
    </font>
    <font>
      <sz val="11"/>
      <color indexed="8"/>
      <name val="Arial"/>
      <family val="2"/>
    </font>
    <font>
      <i/>
      <sz val="11"/>
      <name val="Arial"/>
      <family val="2"/>
    </font>
    <font>
      <b/>
      <sz val="20"/>
      <color indexed="48"/>
      <name val="Arial"/>
      <family val="2"/>
    </font>
    <font>
      <b/>
      <sz val="10"/>
      <color indexed="10"/>
      <name val="Arial"/>
      <family val="2"/>
    </font>
    <font>
      <sz val="10"/>
      <name val="Arial Unicode MS"/>
      <family val="0"/>
    </font>
    <font>
      <b/>
      <sz val="13"/>
      <name val="Arial"/>
      <family val="2"/>
    </font>
    <font>
      <b/>
      <sz val="8"/>
      <name val="Arial"/>
      <family val="2"/>
    </font>
  </fonts>
  <fills count="6">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s>
  <borders count="8">
    <border>
      <left/>
      <right/>
      <top/>
      <bottom/>
      <diagonal/>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2" fontId="0" fillId="0" borderId="0" xfId="0" applyNumberFormat="1" applyAlignment="1">
      <alignment/>
    </xf>
    <xf numFmtId="0" fontId="1" fillId="0" borderId="0" xfId="0" applyFont="1" applyAlignment="1">
      <alignment/>
    </xf>
    <xf numFmtId="0" fontId="2" fillId="0" borderId="0" xfId="0" applyFont="1" applyAlignment="1">
      <alignment/>
    </xf>
    <xf numFmtId="173" fontId="0" fillId="0" borderId="0" xfId="0" applyNumberFormat="1" applyAlignment="1">
      <alignment/>
    </xf>
    <xf numFmtId="1" fontId="0" fillId="0" borderId="0" xfId="0" applyNumberForma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1" fillId="0" borderId="0" xfId="0" applyFont="1" applyAlignment="1">
      <alignment/>
    </xf>
    <xf numFmtId="0" fontId="10" fillId="0" borderId="0" xfId="0" applyFont="1" applyAlignment="1">
      <alignment/>
    </xf>
    <xf numFmtId="172" fontId="0" fillId="0" borderId="0" xfId="0" applyNumberFormat="1" applyAlignment="1">
      <alignment/>
    </xf>
    <xf numFmtId="172" fontId="8" fillId="0" borderId="1" xfId="0" applyNumberFormat="1" applyFont="1" applyBorder="1" applyAlignment="1">
      <alignment/>
    </xf>
    <xf numFmtId="172" fontId="12" fillId="0" borderId="0" xfId="0" applyNumberFormat="1" applyFont="1" applyAlignment="1">
      <alignment horizontal="center"/>
    </xf>
    <xf numFmtId="181" fontId="0" fillId="0" borderId="0" xfId="17" applyNumberFormat="1" applyAlignment="1">
      <alignment/>
    </xf>
    <xf numFmtId="2" fontId="5" fillId="0" borderId="0" xfId="0" applyNumberFormat="1" applyFont="1" applyAlignment="1">
      <alignment/>
    </xf>
    <xf numFmtId="0" fontId="0" fillId="0" borderId="0" xfId="0" applyAlignment="1">
      <alignment horizontal="center"/>
    </xf>
    <xf numFmtId="0" fontId="7" fillId="0" borderId="0" xfId="0" applyFont="1" applyAlignment="1">
      <alignment horizontal="center"/>
    </xf>
    <xf numFmtId="0" fontId="9" fillId="0" borderId="0" xfId="0" applyFont="1" applyAlignment="1">
      <alignment horizontal="center"/>
    </xf>
    <xf numFmtId="0" fontId="8" fillId="0" borderId="1" xfId="0" applyFont="1" applyBorder="1" applyAlignment="1">
      <alignment horizontal="center" vertical="top" wrapText="1"/>
    </xf>
    <xf numFmtId="0" fontId="0" fillId="0" borderId="0" xfId="0" applyAlignment="1">
      <alignment horizontal="center" vertical="top" wrapText="1"/>
    </xf>
    <xf numFmtId="0" fontId="0" fillId="2" borderId="0" xfId="0" applyFill="1" applyBorder="1" applyAlignment="1">
      <alignment/>
    </xf>
    <xf numFmtId="0" fontId="8" fillId="2" borderId="0" xfId="0" applyFont="1" applyFill="1" applyBorder="1" applyAlignment="1">
      <alignment/>
    </xf>
    <xf numFmtId="0" fontId="1" fillId="2" borderId="0" xfId="0" applyFont="1" applyFill="1" applyBorder="1" applyAlignment="1">
      <alignment/>
    </xf>
    <xf numFmtId="0" fontId="0" fillId="2" borderId="0" xfId="0" applyFill="1" applyBorder="1" applyAlignment="1">
      <alignment horizontal="center"/>
    </xf>
    <xf numFmtId="0" fontId="10" fillId="2" borderId="0" xfId="0" applyFont="1" applyFill="1" applyBorder="1" applyAlignment="1">
      <alignment/>
    </xf>
    <xf numFmtId="0" fontId="0" fillId="2" borderId="0" xfId="0" applyFill="1" applyBorder="1" applyAlignment="1">
      <alignment vertical="top" wrapText="1"/>
    </xf>
    <xf numFmtId="0" fontId="0" fillId="3" borderId="0" xfId="0" applyFill="1" applyAlignment="1">
      <alignment/>
    </xf>
    <xf numFmtId="0" fontId="16" fillId="3" borderId="0" xfId="0" applyFont="1" applyFill="1" applyAlignment="1">
      <alignment horizontal="center"/>
    </xf>
    <xf numFmtId="0" fontId="16" fillId="3" borderId="0" xfId="0" applyFont="1" applyFill="1" applyAlignment="1">
      <alignment horizontal="left"/>
    </xf>
    <xf numFmtId="0" fontId="15" fillId="2" borderId="0" xfId="0" applyFont="1" applyFill="1" applyBorder="1" applyAlignment="1">
      <alignment horizontal="left" vertical="top"/>
    </xf>
    <xf numFmtId="0" fontId="8" fillId="2" borderId="0" xfId="0" applyFont="1" applyFill="1" applyBorder="1" applyAlignment="1">
      <alignment vertical="top"/>
    </xf>
    <xf numFmtId="0" fontId="17" fillId="2" borderId="0" xfId="0" applyFont="1" applyFill="1" applyBorder="1" applyAlignment="1">
      <alignment/>
    </xf>
    <xf numFmtId="0" fontId="17" fillId="2" borderId="0" xfId="0" applyFont="1" applyFill="1" applyBorder="1" applyAlignment="1">
      <alignment vertical="top" wrapText="1"/>
    </xf>
    <xf numFmtId="0" fontId="18" fillId="2" borderId="0" xfId="0" applyFont="1" applyFill="1" applyBorder="1" applyAlignment="1">
      <alignment/>
    </xf>
    <xf numFmtId="0" fontId="18" fillId="2" borderId="0" xfId="0" applyFont="1" applyFill="1" applyBorder="1" applyAlignment="1">
      <alignment vertical="top" wrapText="1"/>
    </xf>
    <xf numFmtId="0" fontId="0" fillId="2" borderId="0" xfId="0" applyFill="1" applyBorder="1" applyAlignment="1" applyProtection="1">
      <alignment/>
      <protection locked="0"/>
    </xf>
    <xf numFmtId="0" fontId="20" fillId="4" borderId="2" xfId="0" applyFont="1" applyFill="1" applyBorder="1" applyAlignment="1">
      <alignment/>
    </xf>
    <xf numFmtId="0" fontId="20" fillId="4" borderId="3" xfId="0" applyFont="1" applyFill="1" applyBorder="1" applyAlignment="1">
      <alignment/>
    </xf>
    <xf numFmtId="0" fontId="18" fillId="4" borderId="3" xfId="0" applyFont="1" applyFill="1" applyBorder="1" applyAlignment="1">
      <alignment/>
    </xf>
    <xf numFmtId="0" fontId="18" fillId="4" borderId="4" xfId="0" applyFont="1" applyFill="1" applyBorder="1" applyAlignment="1">
      <alignment/>
    </xf>
    <xf numFmtId="0" fontId="8" fillId="2" borderId="0" xfId="0" applyFont="1" applyFill="1" applyBorder="1" applyAlignment="1">
      <alignment horizontal="center"/>
    </xf>
    <xf numFmtId="0" fontId="18" fillId="2" borderId="0" xfId="0" applyFont="1" applyFill="1" applyBorder="1" applyAlignment="1">
      <alignment horizontal="center"/>
    </xf>
    <xf numFmtId="173" fontId="20" fillId="4" borderId="5" xfId="0" applyNumberFormat="1" applyFont="1" applyFill="1" applyBorder="1" applyAlignment="1">
      <alignment horizontal="center"/>
    </xf>
    <xf numFmtId="182" fontId="20" fillId="4" borderId="6" xfId="0" applyNumberFormat="1" applyFont="1" applyFill="1" applyBorder="1" applyAlignment="1">
      <alignment horizontal="center"/>
    </xf>
    <xf numFmtId="182" fontId="18" fillId="4" borderId="6" xfId="0" applyNumberFormat="1" applyFont="1" applyFill="1" applyBorder="1" applyAlignment="1">
      <alignment horizontal="center"/>
    </xf>
    <xf numFmtId="0" fontId="17" fillId="4" borderId="6" xfId="0" applyFont="1" applyFill="1" applyBorder="1" applyAlignment="1">
      <alignment horizontal="center"/>
    </xf>
    <xf numFmtId="172" fontId="20" fillId="4" borderId="6" xfId="0" applyNumberFormat="1" applyFont="1" applyFill="1" applyBorder="1" applyAlignment="1">
      <alignment horizontal="center"/>
    </xf>
    <xf numFmtId="0" fontId="18" fillId="4" borderId="6" xfId="0" applyFont="1" applyFill="1" applyBorder="1" applyAlignment="1">
      <alignment horizontal="center"/>
    </xf>
    <xf numFmtId="182" fontId="18" fillId="4" borderId="7" xfId="0" applyNumberFormat="1" applyFont="1" applyFill="1" applyBorder="1" applyAlignment="1">
      <alignment horizontal="center"/>
    </xf>
    <xf numFmtId="0" fontId="19" fillId="2" borderId="0" xfId="0" applyFont="1" applyFill="1" applyBorder="1" applyAlignment="1">
      <alignment horizontal="center"/>
    </xf>
    <xf numFmtId="176" fontId="0" fillId="0" borderId="0" xfId="0" applyNumberFormat="1" applyAlignment="1">
      <alignment/>
    </xf>
    <xf numFmtId="0" fontId="21" fillId="0" borderId="0" xfId="0" applyFont="1" applyAlignment="1">
      <alignment/>
    </xf>
    <xf numFmtId="173" fontId="22" fillId="0" borderId="0" xfId="0" applyNumberFormat="1" applyFont="1" applyAlignment="1">
      <alignment/>
    </xf>
    <xf numFmtId="2" fontId="22" fillId="0" borderId="0" xfId="0" applyNumberFormat="1" applyFont="1" applyAlignment="1">
      <alignment/>
    </xf>
    <xf numFmtId="177" fontId="22" fillId="0" borderId="0" xfId="0" applyNumberFormat="1" applyFont="1" applyAlignment="1">
      <alignment/>
    </xf>
    <xf numFmtId="0" fontId="8" fillId="0" borderId="0" xfId="0" applyFont="1" applyAlignment="1">
      <alignment horizontal="center"/>
    </xf>
    <xf numFmtId="0" fontId="23" fillId="0" borderId="0" xfId="0" applyFont="1" applyAlignment="1">
      <alignment/>
    </xf>
    <xf numFmtId="0" fontId="11" fillId="3" borderId="0" xfId="0" applyFont="1" applyFill="1" applyAlignment="1">
      <alignment/>
    </xf>
    <xf numFmtId="172" fontId="0" fillId="5" borderId="0" xfId="0" applyNumberFormat="1" applyFill="1" applyAlignment="1">
      <alignment/>
    </xf>
    <xf numFmtId="172" fontId="20" fillId="4" borderId="5" xfId="0" applyNumberFormat="1" applyFont="1" applyFill="1" applyBorder="1" applyAlignment="1">
      <alignment horizontal="center"/>
    </xf>
    <xf numFmtId="194" fontId="0" fillId="0" borderId="0" xfId="15" applyNumberFormat="1" applyAlignment="1">
      <alignment/>
    </xf>
    <xf numFmtId="0" fontId="0" fillId="2"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9525</xdr:rowOff>
    </xdr:from>
    <xdr:ext cx="8534400" cy="5629275"/>
    <xdr:sp>
      <xdr:nvSpPr>
        <xdr:cNvPr id="1" name="TextBox 1"/>
        <xdr:cNvSpPr txBox="1">
          <a:spLocks noChangeArrowheads="1"/>
        </xdr:cNvSpPr>
      </xdr:nvSpPr>
      <xdr:spPr>
        <a:xfrm>
          <a:off x="0" y="9525"/>
          <a:ext cx="8534400" cy="5629275"/>
        </a:xfrm>
        <a:prstGeom prst="rect">
          <a:avLst/>
        </a:prstGeom>
        <a:noFill/>
        <a:ln w="9525" cmpd="sng">
          <a:noFill/>
        </a:ln>
      </xdr:spPr>
      <xdr:txBody>
        <a:bodyPr vertOverflow="clip" wrap="square"/>
        <a:p>
          <a:pPr algn="l">
            <a:defRPr/>
          </a:pPr>
          <a:r>
            <a:rPr lang="en-US" cap="none" sz="1300" b="1" i="0" u="none" baseline="0">
              <a:latin typeface="Arial"/>
              <a:ea typeface="Arial"/>
              <a:cs typeface="Arial"/>
            </a:rPr>
            <a:t>Welcome to the UKPDS Diabetes Complications Cost Calculator 
Full details of this cost calculator and the methods underlying it are given in the following paper:
Clarke PM, Gray AM, Legood R, Briggs AH, Holman R. The Impact of Diabetes-related Complications on Health Care Costs: Results from the United Kingdom Prospective Diabetes Study, Diabetic Medicine 2003; 20:442-450.  
The calculator reports hospital and non-hospital health care costs associated with a set of diabetes-related complications. These have been estimated in the first instance using a generalised linear model (GLM) with a log link function. As noted in the paper, it is important to note that a GLM with a log link function assumes that complications have a multiplicative effect on overall costs and so patients with several complications will incur much higher costs than if the costs of complications were assumed to be additive (as in traditional linear regression). Only a limited number of patients in the UKPDS experienced more than two complications and so the validity of predicting costs using a GLM in this context needs to be determined when further follow-up data from the UKPDS are available. For the moment, we have therefore also estimated a model using ordinary least squares(OLS) regression, and this could be used to provide alternative estimates (particularly for patients with multiple complications).
If you have any further queries please contact :
Philip Clarke on  philip.clarke@dphpc.ox.ac.uk or Alastair Gray on  alastair.gray@ihs.ox.ac.uk
Please inform us if you plan to use the calculator in any application or publication.
PROCEED TO COST CALCULATOR SHEET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P21" sqref="P21"/>
    </sheetView>
  </sheetViews>
  <sheetFormatPr defaultColWidth="9.140625" defaultRowHeight="12.75"/>
  <cols>
    <col min="1" max="16384" width="9.140625" style="63"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G26"/>
  <sheetViews>
    <sheetView workbookViewId="0" topLeftCell="A1">
      <selection activeCell="E26" sqref="E26"/>
    </sheetView>
  </sheetViews>
  <sheetFormatPr defaultColWidth="9.140625" defaultRowHeight="12.75"/>
  <cols>
    <col min="1" max="1" width="25.00390625" style="22" customWidth="1"/>
    <col min="2" max="2" width="12.140625" style="25" customWidth="1"/>
    <col min="3" max="3" width="3.28125" style="37" customWidth="1"/>
    <col min="4" max="4" width="1.28515625" style="22" customWidth="1"/>
    <col min="5" max="5" width="60.28125" style="35" customWidth="1"/>
    <col min="6" max="6" width="13.7109375" style="33" customWidth="1"/>
    <col min="7" max="7" width="9.421875" style="22" customWidth="1"/>
    <col min="8" max="16384" width="8.8515625" style="22" customWidth="1"/>
  </cols>
  <sheetData>
    <row r="1" ht="20.25">
      <c r="A1" s="24" t="s">
        <v>73</v>
      </c>
    </row>
    <row r="2" spans="1:6" s="27" customFormat="1" ht="15.75" customHeight="1">
      <c r="A2" s="32" t="s">
        <v>71</v>
      </c>
      <c r="B2" s="22"/>
      <c r="C2" s="37"/>
      <c r="E2" s="36"/>
      <c r="F2" s="34"/>
    </row>
    <row r="3" spans="1:6" ht="15.75">
      <c r="A3" s="31"/>
      <c r="F3" s="51"/>
    </row>
    <row r="4" spans="1:7" ht="18" customHeight="1" thickBot="1">
      <c r="A4" s="22" t="s">
        <v>74</v>
      </c>
      <c r="B4" s="25">
        <v>66</v>
      </c>
      <c r="E4" s="51" t="s">
        <v>76</v>
      </c>
      <c r="F4" s="43" t="s">
        <v>56</v>
      </c>
      <c r="G4" s="42" t="s">
        <v>79</v>
      </c>
    </row>
    <row r="5" spans="1:7" ht="16.5" customHeight="1">
      <c r="A5" s="22" t="s">
        <v>75</v>
      </c>
      <c r="B5" s="25" t="b">
        <v>1</v>
      </c>
      <c r="E5" s="38" t="s">
        <v>3</v>
      </c>
      <c r="F5" s="61">
        <f>'Coefficient summary'!F30</f>
        <v>0.0694775062833661</v>
      </c>
      <c r="G5" s="44">
        <f>'Coefficient summary'!F30</f>
        <v>0.0694775062833661</v>
      </c>
    </row>
    <row r="6" spans="1:7" ht="14.25">
      <c r="A6" s="26" t="s">
        <v>19</v>
      </c>
      <c r="E6" s="39" t="s">
        <v>61</v>
      </c>
      <c r="F6" s="45">
        <f>'Coefficient summary'!J30</f>
        <v>2790.377582812656</v>
      </c>
      <c r="G6" s="45">
        <f>'Coefficient summary'!N30</f>
        <v>2878.91818</v>
      </c>
    </row>
    <row r="7" spans="1:7" ht="14.25">
      <c r="A7" s="22" t="s">
        <v>7</v>
      </c>
      <c r="B7" s="25" t="b">
        <v>0</v>
      </c>
      <c r="E7" s="40" t="s">
        <v>77</v>
      </c>
      <c r="F7" s="46">
        <f>F5*F6</f>
        <v>193.86847604283022</v>
      </c>
      <c r="G7" s="46">
        <f>G5*G6</f>
        <v>200.02005594024692</v>
      </c>
    </row>
    <row r="8" spans="1:7" ht="15">
      <c r="A8" s="22" t="s">
        <v>8</v>
      </c>
      <c r="B8" s="25" t="b">
        <v>0</v>
      </c>
      <c r="E8" s="40"/>
      <c r="F8" s="47"/>
      <c r="G8" s="47"/>
    </row>
    <row r="9" spans="1:7" ht="14.25">
      <c r="A9" s="22" t="s">
        <v>9</v>
      </c>
      <c r="B9" s="25" t="b">
        <v>0</v>
      </c>
      <c r="E9" s="39" t="s">
        <v>81</v>
      </c>
      <c r="F9" s="48">
        <f>'Coefficient summary'!U18</f>
        <v>0.7864916224923151</v>
      </c>
      <c r="G9" s="48">
        <f>'Coefficient summary'!U18</f>
        <v>0.7864916224923151</v>
      </c>
    </row>
    <row r="10" spans="1:7" ht="14.25">
      <c r="A10" s="22" t="s">
        <v>10</v>
      </c>
      <c r="B10" s="25" t="b">
        <v>0</v>
      </c>
      <c r="E10" s="39" t="s">
        <v>62</v>
      </c>
      <c r="F10" s="45">
        <f>'Coefficient summary'!Y18</f>
        <v>71.85834855506569</v>
      </c>
      <c r="G10" s="45">
        <f>'Coefficient summary'!AC18</f>
        <v>70.6396138</v>
      </c>
    </row>
    <row r="11" spans="1:7" ht="14.25">
      <c r="A11" s="22" t="s">
        <v>11</v>
      </c>
      <c r="B11" s="25" t="b">
        <v>0</v>
      </c>
      <c r="E11" s="40" t="s">
        <v>82</v>
      </c>
      <c r="F11" s="46">
        <f>F9*F10*3</f>
        <v>169.54796743407576</v>
      </c>
      <c r="G11" s="46">
        <f>G9*G10*3</f>
        <v>166.6723934093776</v>
      </c>
    </row>
    <row r="12" spans="1:7" ht="14.25">
      <c r="A12" s="22" t="s">
        <v>12</v>
      </c>
      <c r="B12" s="25" t="b">
        <v>0</v>
      </c>
      <c r="E12" s="40"/>
      <c r="F12" s="49"/>
      <c r="G12" s="49"/>
    </row>
    <row r="13" spans="1:7" ht="15" thickBot="1">
      <c r="A13" s="22" t="s">
        <v>13</v>
      </c>
      <c r="B13" s="25" t="b">
        <v>0</v>
      </c>
      <c r="E13" s="41" t="s">
        <v>78</v>
      </c>
      <c r="F13" s="50">
        <f>F11+F7</f>
        <v>363.416443476906</v>
      </c>
      <c r="G13" s="50">
        <f>G11+G7</f>
        <v>366.69244934962455</v>
      </c>
    </row>
    <row r="14" spans="1:7" ht="15">
      <c r="A14" s="22" t="s">
        <v>14</v>
      </c>
      <c r="B14" s="25" t="b">
        <v>0</v>
      </c>
      <c r="G14" s="35"/>
    </row>
    <row r="15" spans="1:7" ht="14.25">
      <c r="A15" s="22" t="s">
        <v>15</v>
      </c>
      <c r="B15" s="25" t="b">
        <v>0</v>
      </c>
      <c r="F15" s="35"/>
      <c r="G15" s="35"/>
    </row>
    <row r="16" spans="1:7" ht="14.25">
      <c r="A16" s="26" t="s">
        <v>72</v>
      </c>
      <c r="F16" s="35"/>
      <c r="G16" s="35"/>
    </row>
    <row r="17" spans="1:7" ht="14.25">
      <c r="A17" s="22" t="s">
        <v>8</v>
      </c>
      <c r="B17" s="25" t="b">
        <v>0</v>
      </c>
      <c r="F17" s="35"/>
      <c r="G17" s="35"/>
    </row>
    <row r="18" spans="1:7" ht="14.25">
      <c r="A18" s="22" t="s">
        <v>10</v>
      </c>
      <c r="B18" s="25" t="b">
        <v>0</v>
      </c>
      <c r="F18" s="35"/>
      <c r="G18" s="35"/>
    </row>
    <row r="19" spans="1:7" ht="14.25">
      <c r="A19" s="22" t="s">
        <v>11</v>
      </c>
      <c r="B19" s="25" t="b">
        <v>0</v>
      </c>
      <c r="F19" s="35"/>
      <c r="G19" s="35"/>
    </row>
    <row r="20" spans="1:7" ht="14.25">
      <c r="A20" s="22" t="s">
        <v>12</v>
      </c>
      <c r="B20" s="25" t="b">
        <v>0</v>
      </c>
      <c r="F20" s="35"/>
      <c r="G20" s="35"/>
    </row>
    <row r="21" spans="1:6" ht="14.25">
      <c r="A21" s="22" t="s">
        <v>13</v>
      </c>
      <c r="B21" s="25" t="b">
        <v>0</v>
      </c>
      <c r="F21" s="35"/>
    </row>
    <row r="22" spans="1:7" ht="14.25">
      <c r="A22" s="22" t="s">
        <v>14</v>
      </c>
      <c r="B22" s="25" t="b">
        <v>0</v>
      </c>
      <c r="F22" s="35"/>
      <c r="G22" s="23"/>
    </row>
    <row r="23" spans="1:6" ht="14.25">
      <c r="A23" s="22" t="s">
        <v>15</v>
      </c>
      <c r="B23" s="25" t="b">
        <v>0</v>
      </c>
      <c r="F23" s="35"/>
    </row>
    <row r="24" spans="1:6" ht="14.25">
      <c r="A24" s="22" t="s">
        <v>17</v>
      </c>
      <c r="B24" s="25">
        <v>1</v>
      </c>
      <c r="F24" s="35"/>
    </row>
    <row r="25" ht="14.25">
      <c r="F25" s="35"/>
    </row>
    <row r="26" ht="14.25">
      <c r="F26" s="35"/>
    </row>
  </sheetData>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AC30"/>
  <sheetViews>
    <sheetView workbookViewId="0" topLeftCell="A4">
      <selection activeCell="A31" sqref="A31"/>
    </sheetView>
  </sheetViews>
  <sheetFormatPr defaultColWidth="9.140625" defaultRowHeight="12.75"/>
  <cols>
    <col min="1" max="1" width="28.7109375" style="0" customWidth="1"/>
    <col min="2" max="2" width="10.7109375" style="0" customWidth="1"/>
    <col min="3" max="3" width="4.00390625" style="0" customWidth="1"/>
    <col min="4" max="4" width="16.7109375" style="0" bestFit="1" customWidth="1"/>
    <col min="5" max="5" width="9.57421875" style="0" bestFit="1" customWidth="1"/>
    <col min="7" max="7" width="2.421875" style="0" customWidth="1"/>
    <col min="8" max="8" width="10.28125" style="0" customWidth="1"/>
    <col min="10" max="10" width="10.57421875" style="0" customWidth="1"/>
    <col min="11" max="11" width="3.7109375" style="0" customWidth="1"/>
    <col min="12" max="15" width="17.421875" style="0" customWidth="1"/>
    <col min="16" max="16" width="16.57421875" style="0" customWidth="1"/>
    <col min="18" max="18" width="4.8515625" style="1" customWidth="1"/>
    <col min="19" max="19" width="11.7109375" style="0" customWidth="1"/>
    <col min="20" max="20" width="9.7109375" style="0" customWidth="1"/>
    <col min="22" max="22" width="2.8515625" style="0" customWidth="1"/>
    <col min="23" max="23" width="11.421875" style="0" customWidth="1"/>
    <col min="24" max="24" width="10.7109375" style="0" customWidth="1"/>
    <col min="25" max="25" width="11.57421875" style="0" customWidth="1"/>
    <col min="27" max="27" width="11.421875" style="0" customWidth="1"/>
    <col min="28" max="28" width="10.7109375" style="0" customWidth="1"/>
    <col min="29" max="29" width="13.8515625" style="0" customWidth="1"/>
  </cols>
  <sheetData>
    <row r="1" spans="1:3" ht="20.25">
      <c r="A1" s="2" t="s">
        <v>63</v>
      </c>
      <c r="B1" s="2"/>
      <c r="C1" s="2"/>
    </row>
    <row r="2" ht="15">
      <c r="J2" s="3"/>
    </row>
    <row r="3" spans="4:29" ht="23.25">
      <c r="D3" s="28"/>
      <c r="E3" s="29" t="s">
        <v>64</v>
      </c>
      <c r="F3" s="28"/>
      <c r="H3" s="28"/>
      <c r="I3" s="29" t="s">
        <v>65</v>
      </c>
      <c r="J3" s="28"/>
      <c r="L3" s="28"/>
      <c r="M3" s="29" t="s">
        <v>65</v>
      </c>
      <c r="N3" s="28"/>
      <c r="S3" s="30" t="s">
        <v>66</v>
      </c>
      <c r="T3" s="28"/>
      <c r="U3" s="28"/>
      <c r="W3" s="30" t="s">
        <v>67</v>
      </c>
      <c r="X3" s="28"/>
      <c r="Y3" s="28"/>
      <c r="AA3" s="30" t="s">
        <v>67</v>
      </c>
      <c r="AB3" s="28"/>
      <c r="AC3" s="28"/>
    </row>
    <row r="4" spans="1:29" ht="15.75">
      <c r="A4" s="6"/>
      <c r="B4" s="6"/>
      <c r="C4" s="6"/>
      <c r="H4" s="14" t="s">
        <v>56</v>
      </c>
      <c r="I4" s="14" t="s">
        <v>56</v>
      </c>
      <c r="J4" s="14" t="s">
        <v>56</v>
      </c>
      <c r="L4" s="14" t="s">
        <v>79</v>
      </c>
      <c r="M4" s="14" t="s">
        <v>79</v>
      </c>
      <c r="N4" s="14" t="s">
        <v>79</v>
      </c>
      <c r="W4" s="57" t="s">
        <v>56</v>
      </c>
      <c r="X4" s="57" t="s">
        <v>56</v>
      </c>
      <c r="Y4" s="57" t="s">
        <v>56</v>
      </c>
      <c r="AA4" s="57" t="s">
        <v>128</v>
      </c>
      <c r="AB4" s="57" t="s">
        <v>128</v>
      </c>
      <c r="AC4" s="57" t="s">
        <v>128</v>
      </c>
    </row>
    <row r="5" spans="1:29" s="21" customFormat="1" ht="30" customHeight="1">
      <c r="A5" s="20" t="s">
        <v>18</v>
      </c>
      <c r="B5" s="20" t="s">
        <v>60</v>
      </c>
      <c r="D5" s="20" t="s">
        <v>5</v>
      </c>
      <c r="E5" s="20" t="s">
        <v>4</v>
      </c>
      <c r="F5" s="20"/>
      <c r="H5" s="20" t="s">
        <v>5</v>
      </c>
      <c r="I5" s="20" t="s">
        <v>4</v>
      </c>
      <c r="J5" s="13"/>
      <c r="L5" s="20" t="s">
        <v>5</v>
      </c>
      <c r="M5" s="20" t="s">
        <v>4</v>
      </c>
      <c r="N5" s="13"/>
      <c r="Q5" s="20" t="s">
        <v>60</v>
      </c>
      <c r="R5" s="1"/>
      <c r="S5" s="20" t="s">
        <v>5</v>
      </c>
      <c r="T5" s="20" t="s">
        <v>4</v>
      </c>
      <c r="U5" s="20"/>
      <c r="W5" s="20" t="s">
        <v>5</v>
      </c>
      <c r="X5" s="20" t="s">
        <v>4</v>
      </c>
      <c r="Y5" s="20"/>
      <c r="AA5" s="20" t="s">
        <v>5</v>
      </c>
      <c r="AB5" s="20" t="s">
        <v>4</v>
      </c>
      <c r="AC5" s="20"/>
    </row>
    <row r="6" spans="1:29" ht="15.75">
      <c r="A6" s="7" t="s">
        <v>16</v>
      </c>
      <c r="B6" s="18">
        <f>'Cost calculator '!B4</f>
        <v>66</v>
      </c>
      <c r="C6" s="18"/>
      <c r="D6" s="12">
        <f>'Hospital part 1 details'!B9</f>
        <v>0.0169712</v>
      </c>
      <c r="E6" s="12">
        <f>'Hospital part 1 details'!C9</f>
        <v>0.0021619</v>
      </c>
      <c r="F6">
        <f>D6*(B6-55)</f>
        <v>0.1866832</v>
      </c>
      <c r="H6" s="12">
        <f>'Hospital part 2 GLM details'!Y11</f>
        <v>0.012580966666666667</v>
      </c>
      <c r="I6" s="12">
        <f>'Hospital part 2 GLM details'!AF11</f>
        <v>0.002290069882550186</v>
      </c>
      <c r="J6">
        <f>(B6-55)*H6</f>
        <v>0.13839063333333335</v>
      </c>
      <c r="K6" s="1"/>
      <c r="L6" s="1">
        <f>'Hospital part 2 OLS details'!Y6</f>
        <v>39.289746666666666</v>
      </c>
      <c r="M6" s="1">
        <f>'Hospital part 2 OLS details'!AF6</f>
        <v>8.399415944793116</v>
      </c>
      <c r="N6" s="1">
        <f>L6*(B6-55)</f>
        <v>432.1872133333333</v>
      </c>
      <c r="O6" s="1"/>
      <c r="P6" s="1" t="s">
        <v>16</v>
      </c>
      <c r="Q6">
        <f>'Cost calculator '!B4</f>
        <v>66</v>
      </c>
      <c r="S6">
        <f>'Non-hospital details'!B7</f>
        <v>0.0227827</v>
      </c>
      <c r="T6">
        <f>'Non-hospital details'!C7</f>
        <v>0.0049615</v>
      </c>
      <c r="U6">
        <f>S6*($Q6-55)</f>
        <v>0.2506097</v>
      </c>
      <c r="W6">
        <f>'Non-hospital details'!J7</f>
        <v>0.0025997</v>
      </c>
      <c r="X6">
        <f>'Non-hospital details'!K7</f>
        <v>0.0027385</v>
      </c>
      <c r="Y6">
        <f>W6*($Q6-55)</f>
        <v>0.0285967</v>
      </c>
      <c r="AA6">
        <f>'Non-hospital details'!R7</f>
        <v>0.2010958</v>
      </c>
      <c r="AB6">
        <f>'Non-hospital details'!S7</f>
        <v>0.2488167</v>
      </c>
      <c r="AC6">
        <f>AA6*($Q6-55)</f>
        <v>2.2120538</v>
      </c>
    </row>
    <row r="7" spans="1:29" ht="15.75">
      <c r="A7" s="7" t="s">
        <v>6</v>
      </c>
      <c r="B7" s="18" t="b">
        <f>'Cost calculator '!B5</f>
        <v>1</v>
      </c>
      <c r="C7" s="18"/>
      <c r="D7" s="12">
        <f>'Hospital part 1 details'!B10</f>
        <v>-0.1077294</v>
      </c>
      <c r="E7" s="12">
        <f>'Hospital part 1 details'!C10</f>
        <v>0.0412859</v>
      </c>
      <c r="F7">
        <f aca="true" t="shared" si="0" ref="F7:F28">D7*B7</f>
        <v>-0.1077294</v>
      </c>
      <c r="H7" s="12">
        <f>'Hospital part 2 GLM details'!Y12</f>
        <v>-0.10643410000000002</v>
      </c>
      <c r="I7" s="12">
        <f>'Hospital part 2 GLM details'!AF12</f>
        <v>0.04751084239935554</v>
      </c>
      <c r="J7">
        <f>B7*H7</f>
        <v>-0.10643410000000002</v>
      </c>
      <c r="K7" s="1"/>
      <c r="L7" s="1">
        <f>'Hospital part 2 OLS details'!Y7</f>
        <v>-355.5970333333333</v>
      </c>
      <c r="M7" s="1">
        <f>'Hospital part 2 OLS details'!AF7</f>
        <v>154.09221768059123</v>
      </c>
      <c r="N7" s="1">
        <f aca="true" t="shared" si="1" ref="N7:N28">L7*B7</f>
        <v>-355.5970333333333</v>
      </c>
      <c r="O7" s="1"/>
      <c r="P7" s="1" t="s">
        <v>6</v>
      </c>
      <c r="Q7" t="b">
        <f>'Cost calculator '!B5</f>
        <v>1</v>
      </c>
      <c r="S7">
        <f>'Non-hospital details'!B8</f>
        <v>-0.6042957</v>
      </c>
      <c r="T7">
        <f>'Non-hospital details'!C8</f>
        <v>0.0975647</v>
      </c>
      <c r="U7">
        <f>S7*$Q7</f>
        <v>-0.6042957</v>
      </c>
      <c r="W7">
        <f>'Non-hospital details'!J8</f>
        <v>-0.2285049</v>
      </c>
      <c r="X7">
        <f>'Non-hospital details'!K8</f>
        <v>0.0497871</v>
      </c>
      <c r="Y7">
        <f>W7*$Q7</f>
        <v>-0.2285049</v>
      </c>
      <c r="AA7">
        <f>'Non-hospital details'!R8</f>
        <v>-20.31095</v>
      </c>
      <c r="AB7">
        <f>'Non-hospital details'!S8</f>
        <v>4.384699</v>
      </c>
      <c r="AC7">
        <f>AA7*$Q7</f>
        <v>-20.31095</v>
      </c>
    </row>
    <row r="8" spans="1:15" ht="15.75">
      <c r="A8" s="7"/>
      <c r="B8" s="18"/>
      <c r="C8" s="18"/>
      <c r="D8" s="12"/>
      <c r="H8" s="12"/>
      <c r="I8" s="12"/>
      <c r="K8" s="1"/>
      <c r="L8" s="1"/>
      <c r="M8" s="1"/>
      <c r="N8" s="1"/>
      <c r="O8" s="1"/>
    </row>
    <row r="9" spans="1:15" ht="15.75">
      <c r="A9" s="9" t="s">
        <v>19</v>
      </c>
      <c r="B9" s="19"/>
      <c r="C9" s="19"/>
      <c r="D9" s="12"/>
      <c r="H9" s="12"/>
      <c r="I9" s="12"/>
      <c r="K9" s="1"/>
      <c r="L9" s="1"/>
      <c r="M9" s="1"/>
      <c r="N9" s="1"/>
      <c r="O9" s="1"/>
    </row>
    <row r="10" spans="1:29" ht="15.75">
      <c r="A10" s="7" t="s">
        <v>7</v>
      </c>
      <c r="B10" s="18" t="b">
        <f>'Cost calculator '!B7</f>
        <v>0</v>
      </c>
      <c r="C10" s="18"/>
      <c r="D10" s="12">
        <f>'Hospital part 1 details'!B11</f>
        <v>3.743191</v>
      </c>
      <c r="E10" s="12">
        <f>'Hospital part 1 details'!C11</f>
        <v>0.1365508</v>
      </c>
      <c r="F10">
        <f t="shared" si="0"/>
        <v>0</v>
      </c>
      <c r="H10" s="12">
        <f>'Hospital part 2 GLM details'!Y13</f>
        <v>-0.4845312</v>
      </c>
      <c r="I10" s="12">
        <f>'Hospital part 2 GLM details'!AF13</f>
        <v>0.10339340780978157</v>
      </c>
      <c r="J10">
        <f aca="true" t="shared" si="2" ref="J10:J18">B10*H10</f>
        <v>0</v>
      </c>
      <c r="K10" s="1"/>
      <c r="L10" s="1">
        <f>'Hospital part 2 OLS details'!Y8</f>
        <v>-1410.1766666666665</v>
      </c>
      <c r="M10" s="1">
        <f>'Hospital part 2 OLS details'!AF8</f>
        <v>325.37455479276383</v>
      </c>
      <c r="N10" s="1">
        <f t="shared" si="1"/>
        <v>0</v>
      </c>
      <c r="O10" s="1"/>
      <c r="P10" t="s">
        <v>99</v>
      </c>
      <c r="Q10" s="58" t="b">
        <f>OR('Cost calculator '!$B7:$B12)=TRUE</f>
        <v>0</v>
      </c>
      <c r="S10">
        <f>'Non-hospital details'!B9</f>
        <v>1.142173</v>
      </c>
      <c r="T10">
        <f>'Non-hospital details'!C9</f>
        <v>0.4675178</v>
      </c>
      <c r="U10">
        <f>S10*$Q10</f>
        <v>0</v>
      </c>
      <c r="W10" s="58">
        <f>'Non-hospital details'!J9</f>
        <v>0.5014806</v>
      </c>
      <c r="X10" s="58">
        <f>'Non-hospital details'!K9</f>
        <v>0.1558306</v>
      </c>
      <c r="Y10">
        <f>W10*$Q10</f>
        <v>0</v>
      </c>
      <c r="AA10">
        <f>'Non-hospital details'!R9</f>
        <v>48.72589</v>
      </c>
      <c r="AB10">
        <f>'Non-hospital details'!S9</f>
        <v>13.7335</v>
      </c>
      <c r="AC10">
        <f>AA10*$Q10</f>
        <v>0</v>
      </c>
    </row>
    <row r="11" spans="1:29" ht="15.75">
      <c r="A11" s="7" t="s">
        <v>8</v>
      </c>
      <c r="B11" s="18" t="b">
        <f>'Cost calculator '!B8</f>
        <v>0</v>
      </c>
      <c r="C11" s="18"/>
      <c r="D11" s="12">
        <f>'Hospital part 1 details'!B12</f>
        <v>4.090902</v>
      </c>
      <c r="E11" s="12">
        <f>'Hospital part 1 details'!C12</f>
        <v>0.148391</v>
      </c>
      <c r="F11">
        <f t="shared" si="0"/>
        <v>0</v>
      </c>
      <c r="H11" s="12">
        <f>'Hospital part 2 GLM details'!Y14</f>
        <v>0.6964531666666667</v>
      </c>
      <c r="I11" s="12">
        <f>'Hospital part 2 GLM details'!AF14</f>
        <v>0.06581707249438375</v>
      </c>
      <c r="J11">
        <f t="shared" si="2"/>
        <v>0</v>
      </c>
      <c r="K11" s="1"/>
      <c r="L11" s="1">
        <f>'Hospital part 2 OLS details'!Y9</f>
        <v>2871.4103333333333</v>
      </c>
      <c r="M11" s="1">
        <f>'Hospital part 2 OLS details'!AF9</f>
        <v>341.5347393081768</v>
      </c>
      <c r="N11" s="1">
        <f t="shared" si="1"/>
        <v>0</v>
      </c>
      <c r="O11" s="1"/>
      <c r="P11" t="s">
        <v>100</v>
      </c>
      <c r="Q11" s="58" t="b">
        <f>OR('Cost calculator '!$B13:$B15)=TRUE</f>
        <v>0</v>
      </c>
      <c r="S11">
        <f>'Non-hospital details'!B10</f>
        <v>2.180856</v>
      </c>
      <c r="T11">
        <f>'Non-hospital details'!C10</f>
        <v>1.014017</v>
      </c>
      <c r="U11">
        <f>S11*$Q11</f>
        <v>0</v>
      </c>
      <c r="W11" s="58">
        <f>'Non-hospital details'!J10</f>
        <v>0.2914872</v>
      </c>
      <c r="X11" s="58">
        <f>'Non-hospital details'!K10</f>
        <v>0.1923169</v>
      </c>
      <c r="Y11">
        <f>W11*$Q11</f>
        <v>0</v>
      </c>
      <c r="AA11">
        <f>'Non-hospital details'!R10</f>
        <v>38.99046</v>
      </c>
      <c r="AB11">
        <f>'Non-hospital details'!S10</f>
        <v>16.85394</v>
      </c>
      <c r="AC11">
        <f>AA11*$Q11</f>
        <v>0</v>
      </c>
    </row>
    <row r="12" spans="1:29" ht="15.75">
      <c r="A12" s="7" t="s">
        <v>9</v>
      </c>
      <c r="B12" s="18" t="b">
        <f>'Cost calculator '!B9</f>
        <v>0</v>
      </c>
      <c r="C12" s="18"/>
      <c r="D12" s="12">
        <f>'Hospital part 1 details'!B13</f>
        <v>4.108148</v>
      </c>
      <c r="E12" s="12">
        <f>'Hospital part 1 details'!C13</f>
        <v>0.355604</v>
      </c>
      <c r="F12">
        <f t="shared" si="0"/>
        <v>0</v>
      </c>
      <c r="H12" s="12">
        <f>'Hospital part 2 GLM details'!Y15</f>
        <v>0.5079702333333332</v>
      </c>
      <c r="I12" s="12">
        <f>'Hospital part 2 GLM details'!AF15</f>
        <v>0.27742160813542815</v>
      </c>
      <c r="J12">
        <f t="shared" si="2"/>
        <v>0</v>
      </c>
      <c r="K12" s="1"/>
      <c r="L12" s="1">
        <f>'Hospital part 2 OLS details'!Y10</f>
        <v>2854.9393333333333</v>
      </c>
      <c r="M12" s="1">
        <f>'Hospital part 2 OLS details'!AF10</f>
        <v>757.4742422892322</v>
      </c>
      <c r="N12" s="1">
        <f t="shared" si="1"/>
        <v>0</v>
      </c>
      <c r="O12" s="1"/>
      <c r="P12" t="s">
        <v>101</v>
      </c>
      <c r="Q12" s="58" t="b">
        <f>OR('Cost calculator '!$B17:$B20)=TRUE</f>
        <v>0</v>
      </c>
      <c r="S12">
        <f>'Non-hospital details'!B11</f>
        <v>0.7199219</v>
      </c>
      <c r="T12">
        <f>'Non-hospital details'!C11</f>
        <v>0.169937</v>
      </c>
      <c r="U12">
        <f>S12*$Q12</f>
        <v>0</v>
      </c>
      <c r="W12" s="58">
        <f>'Non-hospital details'!J11</f>
        <v>0.358418</v>
      </c>
      <c r="X12" s="58">
        <f>'Non-hospital details'!K11</f>
        <v>0.0718487</v>
      </c>
      <c r="Y12">
        <f>W12*$Q12</f>
        <v>0</v>
      </c>
      <c r="AA12">
        <f>'Non-hospital details'!R11</f>
        <v>35.13591</v>
      </c>
      <c r="AB12">
        <f>'Non-hospital details'!S11</f>
        <v>6.317232</v>
      </c>
      <c r="AC12">
        <f>AA12*$Q12</f>
        <v>0</v>
      </c>
    </row>
    <row r="13" spans="1:29" ht="15.75">
      <c r="A13" s="7" t="s">
        <v>10</v>
      </c>
      <c r="B13" s="18" t="b">
        <f>'Cost calculator '!B10</f>
        <v>0</v>
      </c>
      <c r="C13" s="18"/>
      <c r="D13" s="12">
        <f>'Hospital part 1 details'!B14</f>
        <v>2.087483</v>
      </c>
      <c r="E13" s="12">
        <f>'Hospital part 1 details'!C14</f>
        <v>0.1719926</v>
      </c>
      <c r="F13">
        <f t="shared" si="0"/>
        <v>0</v>
      </c>
      <c r="H13" s="12">
        <f>'Hospital part 2 GLM details'!Y16</f>
        <v>0.9867236333333333</v>
      </c>
      <c r="I13" s="12">
        <f>'Hospital part 2 GLM details'!AF16</f>
        <v>0.13320682391323416</v>
      </c>
      <c r="J13">
        <f t="shared" si="2"/>
        <v>0</v>
      </c>
      <c r="K13" s="1"/>
      <c r="L13" s="1">
        <f>'Hospital part 2 OLS details'!Y11</f>
        <v>5687.56</v>
      </c>
      <c r="M13" s="1">
        <f>'Hospital part 2 OLS details'!AF11</f>
        <v>596.7260332781249</v>
      </c>
      <c r="N13" s="1">
        <f t="shared" si="1"/>
        <v>0</v>
      </c>
      <c r="O13" s="1"/>
      <c r="P13" t="s">
        <v>102</v>
      </c>
      <c r="Q13" s="58" t="b">
        <f>OR('Cost calculator '!$B21:$B23)=TRUE</f>
        <v>0</v>
      </c>
      <c r="S13">
        <f>'Non-hospital details'!B12</f>
        <v>0.4556767</v>
      </c>
      <c r="T13">
        <f>'Non-hospital details'!C12</f>
        <v>0.2285111</v>
      </c>
      <c r="U13">
        <f>S13*$Q13</f>
        <v>0</v>
      </c>
      <c r="W13" s="58">
        <f>'Non-hospital details'!J12</f>
        <v>0.2040193</v>
      </c>
      <c r="X13" s="58">
        <f>'Non-hospital details'!K12</f>
        <v>0.0960479</v>
      </c>
      <c r="Y13">
        <f>W13*$Q13</f>
        <v>0</v>
      </c>
      <c r="AA13">
        <f>'Non-hospital details'!R12</f>
        <v>22.91391</v>
      </c>
      <c r="AB13">
        <f>'Non-hospital details'!S12</f>
        <v>8.456806</v>
      </c>
      <c r="AC13">
        <f>AA13*$Q13</f>
        <v>0</v>
      </c>
    </row>
    <row r="14" spans="1:29" ht="15.75">
      <c r="A14" s="7" t="s">
        <v>11</v>
      </c>
      <c r="B14" s="18" t="b">
        <f>'Cost calculator '!B11</f>
        <v>0</v>
      </c>
      <c r="C14" s="18"/>
      <c r="D14" s="12">
        <f>'Hospital part 1 details'!B15</f>
        <v>2.362645</v>
      </c>
      <c r="E14" s="12">
        <f>'Hospital part 1 details'!C15</f>
        <v>0.1331264</v>
      </c>
      <c r="F14">
        <f t="shared" si="0"/>
        <v>0</v>
      </c>
      <c r="H14" s="12">
        <f>'Hospital part 2 GLM details'!Y17</f>
        <v>0.6267116</v>
      </c>
      <c r="I14" s="12">
        <f>'Hospital part 2 GLM details'!AF17</f>
        <v>0.12357037318925507</v>
      </c>
      <c r="J14">
        <f t="shared" si="2"/>
        <v>0</v>
      </c>
      <c r="K14" s="1"/>
      <c r="L14" s="1">
        <f>'Hospital part 2 OLS details'!Y12</f>
        <v>2069.87</v>
      </c>
      <c r="M14" s="1">
        <f>'Hospital part 2 OLS details'!AF12</f>
        <v>474.5329613536928</v>
      </c>
      <c r="N14" s="1">
        <f t="shared" si="1"/>
        <v>0</v>
      </c>
      <c r="O14" s="1"/>
      <c r="P14" t="s">
        <v>23</v>
      </c>
      <c r="Q14">
        <v>1</v>
      </c>
      <c r="S14">
        <f>'Non-hospital details'!B13</f>
        <v>1.657592</v>
      </c>
      <c r="T14">
        <f>'Non-hospital details'!C13</f>
        <v>0.0861461</v>
      </c>
      <c r="U14">
        <f>S14*$Q14</f>
        <v>1.657592</v>
      </c>
      <c r="W14" s="58">
        <f>'Non-hospital details'!J13</f>
        <v>4.474605</v>
      </c>
      <c r="X14" s="58">
        <f>'Non-hospital details'!K13</f>
        <v>0.0437584</v>
      </c>
      <c r="Y14">
        <f>W14*$Q14</f>
        <v>4.474605</v>
      </c>
      <c r="AA14">
        <f>'Non-hospital details'!R13</f>
        <v>88.73851</v>
      </c>
      <c r="AB14">
        <f>'Non-hospital details'!S13</f>
        <v>3.881411</v>
      </c>
      <c r="AC14">
        <f>AA14*$Q14</f>
        <v>88.73851</v>
      </c>
    </row>
    <row r="15" spans="1:15" ht="15.75">
      <c r="A15" s="7" t="s">
        <v>12</v>
      </c>
      <c r="B15" s="18" t="b">
        <f>'Cost calculator '!B12</f>
        <v>0</v>
      </c>
      <c r="C15" s="18"/>
      <c r="D15" s="12">
        <f>'Hospital part 1 details'!B16</f>
        <v>2.821876</v>
      </c>
      <c r="E15" s="12">
        <f>'Hospital part 1 details'!C16</f>
        <v>0.191172</v>
      </c>
      <c r="F15">
        <f t="shared" si="0"/>
        <v>0</v>
      </c>
      <c r="H15" s="12">
        <f>'Hospital part 2 GLM details'!Y18</f>
        <v>0.5081108333333334</v>
      </c>
      <c r="I15" s="12">
        <f>'Hospital part 2 GLM details'!AF18</f>
        <v>0.10647199006764776</v>
      </c>
      <c r="J15">
        <f t="shared" si="2"/>
        <v>0</v>
      </c>
      <c r="K15" s="1"/>
      <c r="L15" s="1">
        <f>'Hospital part 2 OLS details'!Y13</f>
        <v>2122.0143333333335</v>
      </c>
      <c r="M15" s="1">
        <f>'Hospital part 2 OLS details'!AF13</f>
        <v>572.6610340374881</v>
      </c>
      <c r="N15" s="1">
        <f t="shared" si="1"/>
        <v>0</v>
      </c>
      <c r="O15" s="1"/>
    </row>
    <row r="16" spans="1:15" ht="15.75">
      <c r="A16" s="7" t="s">
        <v>13</v>
      </c>
      <c r="B16" s="18" t="b">
        <f>'Cost calculator '!B13</f>
        <v>0</v>
      </c>
      <c r="C16" s="18"/>
      <c r="D16" s="12">
        <f>'Hospital part 1 details'!B17</f>
        <v>1.330263</v>
      </c>
      <c r="E16" s="12">
        <f>'Hospital part 1 details'!C17</f>
        <v>0.1977116</v>
      </c>
      <c r="F16">
        <f t="shared" si="0"/>
        <v>0</v>
      </c>
      <c r="H16" s="12">
        <f>'Hospital part 2 GLM details'!Y19</f>
        <v>0.5413642</v>
      </c>
      <c r="I16" s="12">
        <f>'Hospital part 2 GLM details'!AF19</f>
        <v>0.15594827157338542</v>
      </c>
      <c r="J16">
        <f t="shared" si="2"/>
        <v>0</v>
      </c>
      <c r="K16" s="1"/>
      <c r="L16" s="1">
        <f>'Hospital part 2 OLS details'!Y14</f>
        <v>2238.4126666666666</v>
      </c>
      <c r="M16" s="1">
        <f>'Hospital part 2 OLS details'!AF14</f>
        <v>848.2137868475921</v>
      </c>
      <c r="N16" s="1">
        <f t="shared" si="1"/>
        <v>0</v>
      </c>
      <c r="O16" s="1"/>
    </row>
    <row r="17" spans="1:16" ht="15.75">
      <c r="A17" s="7" t="s">
        <v>14</v>
      </c>
      <c r="B17" s="18" t="b">
        <f>'Cost calculator '!B14</f>
        <v>0</v>
      </c>
      <c r="C17" s="18"/>
      <c r="D17" s="60">
        <v>13</v>
      </c>
      <c r="F17">
        <f t="shared" si="0"/>
        <v>0</v>
      </c>
      <c r="H17" s="12">
        <f>'Hospital part 2 GLM details'!Y20</f>
        <v>1.2017106666666666</v>
      </c>
      <c r="I17" s="12">
        <f>'Hospital part 2 GLM details'!AF20</f>
        <v>0.2462662919350153</v>
      </c>
      <c r="J17">
        <f t="shared" si="2"/>
        <v>0</v>
      </c>
      <c r="K17" s="1"/>
      <c r="L17" s="1">
        <f>'Hospital part 2 OLS details'!Y15</f>
        <v>9361.349666666667</v>
      </c>
      <c r="M17" s="1">
        <f>'Hospital part 2 OLS details'!AF15</f>
        <v>895.3445009358804</v>
      </c>
      <c r="N17" s="1">
        <f t="shared" si="1"/>
        <v>0</v>
      </c>
      <c r="O17" s="1"/>
      <c r="P17" s="1"/>
    </row>
    <row r="18" spans="1:29" ht="15.75">
      <c r="A18" s="7" t="s">
        <v>15</v>
      </c>
      <c r="B18" s="18" t="b">
        <f>'Cost calculator '!B15</f>
        <v>0</v>
      </c>
      <c r="C18" s="18"/>
      <c r="D18" s="60">
        <v>13</v>
      </c>
      <c r="F18">
        <f t="shared" si="0"/>
        <v>0</v>
      </c>
      <c r="H18" s="12">
        <f>'Hospital part 2 GLM details'!Y21</f>
        <v>-0.4930372333333333</v>
      </c>
      <c r="I18" s="12">
        <f>'Hospital part 2 GLM details'!AF21</f>
        <v>0.09958725804465711</v>
      </c>
      <c r="J18">
        <f t="shared" si="2"/>
        <v>0</v>
      </c>
      <c r="K18" s="1"/>
      <c r="L18" s="1">
        <f>'Hospital part 2 OLS details'!Y16</f>
        <v>-1296.2456666666667</v>
      </c>
      <c r="M18" s="1">
        <f>'Hospital part 2 OLS details'!AF16</f>
        <v>430.89511505879443</v>
      </c>
      <c r="N18" s="1">
        <f t="shared" si="1"/>
        <v>0</v>
      </c>
      <c r="O18" s="1"/>
      <c r="P18" s="1"/>
      <c r="T18" t="s">
        <v>69</v>
      </c>
      <c r="U18">
        <f>EXP(SUM(U6:U14))/(1+EXP(SUM(U6:U14)))</f>
        <v>0.7864916224923151</v>
      </c>
      <c r="X18" t="s">
        <v>70</v>
      </c>
      <c r="Y18">
        <f>EXP(SUM(Y6:Y16))</f>
        <v>71.85834855506569</v>
      </c>
      <c r="AB18" t="s">
        <v>70</v>
      </c>
      <c r="AC18">
        <f>SUM(AC6:AC14)</f>
        <v>70.6396138</v>
      </c>
    </row>
    <row r="19" spans="1:16" ht="15.75">
      <c r="A19" s="7"/>
      <c r="B19" s="18"/>
      <c r="C19" s="18"/>
      <c r="D19" s="12"/>
      <c r="H19" s="12"/>
      <c r="I19" s="12"/>
      <c r="K19" s="1"/>
      <c r="L19" s="1"/>
      <c r="M19" s="1"/>
      <c r="N19" s="1"/>
      <c r="O19" s="1"/>
      <c r="P19" s="1"/>
    </row>
    <row r="20" spans="1:16" ht="15.75">
      <c r="A20" s="9" t="s">
        <v>20</v>
      </c>
      <c r="B20" s="19"/>
      <c r="C20" s="19"/>
      <c r="D20" s="12"/>
      <c r="H20" s="12"/>
      <c r="I20" s="12"/>
      <c r="K20" s="1"/>
      <c r="L20" s="1"/>
      <c r="M20" s="1"/>
      <c r="N20" s="1"/>
      <c r="O20" s="1"/>
      <c r="P20" s="1"/>
    </row>
    <row r="21" spans="1:16" ht="15.75">
      <c r="A21" s="7" t="s">
        <v>8</v>
      </c>
      <c r="B21" s="18" t="b">
        <f>'Cost calculator '!B17</f>
        <v>0</v>
      </c>
      <c r="C21" s="18"/>
      <c r="D21" s="12">
        <f>'Hospital part 1 details'!B18</f>
        <v>0.8085664</v>
      </c>
      <c r="E21" s="12">
        <f>'Hospital part 1 details'!C18</f>
        <v>0.08323</v>
      </c>
      <c r="F21">
        <f t="shared" si="0"/>
        <v>0</v>
      </c>
      <c r="H21" s="12">
        <f>'Hospital part 2 GLM details'!Y22</f>
        <v>0.3482834666666667</v>
      </c>
      <c r="I21" s="12">
        <f>'Hospital part 2 GLM details'!AF22</f>
        <v>0.07112481354117345</v>
      </c>
      <c r="J21">
        <f aca="true" t="shared" si="3" ref="J21:J28">B21*H21</f>
        <v>0</v>
      </c>
      <c r="K21" s="1"/>
      <c r="L21" s="1">
        <f>'Hospital part 2 OLS details'!Y17</f>
        <v>1156.1076666666668</v>
      </c>
      <c r="M21" s="1">
        <f>'Hospital part 2 OLS details'!AF17</f>
        <v>301.6003634500575</v>
      </c>
      <c r="N21" s="1">
        <f t="shared" si="1"/>
        <v>0</v>
      </c>
      <c r="O21" s="1"/>
      <c r="P21" s="1"/>
    </row>
    <row r="22" spans="1:16" ht="15.75">
      <c r="A22" s="7" t="s">
        <v>10</v>
      </c>
      <c r="B22" s="18" t="b">
        <f>'Cost calculator '!B18</f>
        <v>0</v>
      </c>
      <c r="C22" s="18"/>
      <c r="D22" s="12">
        <f>'Hospital part 1 details'!B19</f>
        <v>0.3281792</v>
      </c>
      <c r="E22" s="12">
        <f>'Hospital part 1 details'!C19</f>
        <v>0.1339832</v>
      </c>
      <c r="F22">
        <f t="shared" si="0"/>
        <v>0</v>
      </c>
      <c r="H22" s="12">
        <f>'Hospital part 2 GLM details'!Y23</f>
        <v>0.15499246666666666</v>
      </c>
      <c r="I22" s="12">
        <f>'Hospital part 2 GLM details'!AF23</f>
        <v>0.1353023585466062</v>
      </c>
      <c r="J22">
        <f t="shared" si="3"/>
        <v>0</v>
      </c>
      <c r="K22" s="1"/>
      <c r="L22" s="1">
        <f>'Hospital part 2 OLS details'!Y18</f>
        <v>166.87984666666668</v>
      </c>
      <c r="M22" s="1">
        <f>'Hospital part 2 OLS details'!AF18</f>
        <v>492.29742008549096</v>
      </c>
      <c r="N22" s="1">
        <f t="shared" si="1"/>
        <v>0</v>
      </c>
      <c r="O22" s="1"/>
      <c r="P22" s="1"/>
    </row>
    <row r="23" spans="1:16" ht="15.75">
      <c r="A23" s="7" t="s">
        <v>11</v>
      </c>
      <c r="B23" s="18" t="b">
        <f>'Cost calculator '!B19</f>
        <v>0</v>
      </c>
      <c r="C23" s="18"/>
      <c r="D23" s="12">
        <f>'Hospital part 1 details'!B20</f>
        <v>0.8119041</v>
      </c>
      <c r="E23" s="12">
        <f>'Hospital part 1 details'!C20</f>
        <v>0.0872834</v>
      </c>
      <c r="F23">
        <f t="shared" si="0"/>
        <v>0</v>
      </c>
      <c r="H23" s="12">
        <f>'Hospital part 2 GLM details'!Y24</f>
        <v>0.4052579333333333</v>
      </c>
      <c r="I23" s="12">
        <f>'Hospital part 2 GLM details'!AF24</f>
        <v>0.07526403995758219</v>
      </c>
      <c r="J23">
        <f t="shared" si="3"/>
        <v>0</v>
      </c>
      <c r="K23" s="1"/>
      <c r="L23" s="1">
        <f>'Hospital part 2 OLS details'!Y19</f>
        <v>1250.0246666666667</v>
      </c>
      <c r="M23" s="1">
        <f>'Hospital part 2 OLS details'!AF19</f>
        <v>307.6010420822026</v>
      </c>
      <c r="N23" s="1">
        <f t="shared" si="1"/>
        <v>0</v>
      </c>
      <c r="O23" s="1"/>
      <c r="P23" s="1"/>
    </row>
    <row r="24" spans="1:16" ht="15.75">
      <c r="A24" s="7" t="s">
        <v>12</v>
      </c>
      <c r="B24" s="18" t="b">
        <f>'Cost calculator '!B20</f>
        <v>0</v>
      </c>
      <c r="C24" s="18"/>
      <c r="D24" s="12">
        <f>'Hospital part 1 details'!B21</f>
        <v>1.016475</v>
      </c>
      <c r="E24" s="12">
        <f>'Hospital part 1 details'!C21</f>
        <v>0.1353896</v>
      </c>
      <c r="F24">
        <f t="shared" si="0"/>
        <v>0</v>
      </c>
      <c r="H24" s="12">
        <f>'Hospital part 2 GLM details'!Y25</f>
        <v>0.4766616666666667</v>
      </c>
      <c r="I24" s="12">
        <f>'Hospital part 2 GLM details'!AF25</f>
        <v>0.13440567141390736</v>
      </c>
      <c r="J24">
        <f t="shared" si="3"/>
        <v>0</v>
      </c>
      <c r="K24" s="1"/>
      <c r="L24" s="1">
        <f>'Hospital part 2 OLS details'!Y20</f>
        <v>1989.8316666666667</v>
      </c>
      <c r="M24" s="1">
        <f>'Hospital part 2 OLS details'!AF20</f>
        <v>442.14286909531114</v>
      </c>
      <c r="N24" s="1">
        <f t="shared" si="1"/>
        <v>0</v>
      </c>
      <c r="O24" s="1"/>
      <c r="P24" s="1"/>
    </row>
    <row r="25" spans="1:16" ht="15.75">
      <c r="A25" s="7" t="s">
        <v>13</v>
      </c>
      <c r="B25" s="18" t="b">
        <f>'Cost calculator '!B21</f>
        <v>0</v>
      </c>
      <c r="C25" s="18"/>
      <c r="D25" s="12">
        <f>'Hospital part 1 details'!B22</f>
        <v>0.471096</v>
      </c>
      <c r="E25" s="12">
        <f>'Hospital part 1 details'!C22</f>
        <v>0.1345453</v>
      </c>
      <c r="F25">
        <f t="shared" si="0"/>
        <v>0</v>
      </c>
      <c r="H25" s="12">
        <f>'Hospital part 2 GLM details'!Y26</f>
        <v>0.14663156666666666</v>
      </c>
      <c r="I25" s="12">
        <f>'Hospital part 2 GLM details'!AF26</f>
        <v>0.11531135538385655</v>
      </c>
      <c r="J25">
        <f t="shared" si="3"/>
        <v>0</v>
      </c>
      <c r="K25" s="1"/>
      <c r="L25" s="1">
        <f>'Hospital part 2 OLS details'!Y21</f>
        <v>389.18093333333337</v>
      </c>
      <c r="M25" s="1">
        <f>'Hospital part 2 OLS details'!AF21</f>
        <v>507.9713396368547</v>
      </c>
      <c r="N25" s="1">
        <f t="shared" si="1"/>
        <v>0</v>
      </c>
      <c r="O25" s="1"/>
      <c r="P25" s="1"/>
    </row>
    <row r="26" spans="1:16" ht="15.75">
      <c r="A26" s="7" t="s">
        <v>14</v>
      </c>
      <c r="B26" s="18" t="b">
        <f>'Cost calculator '!B22</f>
        <v>0</v>
      </c>
      <c r="C26" s="18"/>
      <c r="D26" s="12">
        <f>'Hospital part 1 details'!B23</f>
        <v>0.3085408</v>
      </c>
      <c r="E26" s="12">
        <f>'Hospital part 1 details'!C23</f>
        <v>0.2159496</v>
      </c>
      <c r="F26">
        <f t="shared" si="0"/>
        <v>0</v>
      </c>
      <c r="H26" s="12">
        <f>'Hospital part 2 GLM details'!Y27</f>
        <v>0.35810846666666674</v>
      </c>
      <c r="I26" s="12">
        <f>'Hospital part 2 GLM details'!AF27</f>
        <v>0.2029085613862506</v>
      </c>
      <c r="J26">
        <f t="shared" si="3"/>
        <v>0</v>
      </c>
      <c r="K26" s="1"/>
      <c r="L26" s="1">
        <f>'Hospital part 2 OLS details'!Y22</f>
        <v>1841.796</v>
      </c>
      <c r="M26" s="1">
        <f>'Hospital part 2 OLS details'!AF22</f>
        <v>757.4074412603226</v>
      </c>
      <c r="N26" s="1">
        <f t="shared" si="1"/>
        <v>0</v>
      </c>
      <c r="O26" s="1"/>
      <c r="P26" s="1"/>
    </row>
    <row r="27" spans="1:16" ht="15.75">
      <c r="A27" s="7" t="s">
        <v>15</v>
      </c>
      <c r="B27" s="18" t="b">
        <f>'Cost calculator '!B23</f>
        <v>0</v>
      </c>
      <c r="C27" s="18"/>
      <c r="D27" s="12">
        <f>'Hospital part 1 details'!B24</f>
        <v>-0.0930908</v>
      </c>
      <c r="E27" s="12">
        <f>'Hospital part 1 details'!C24</f>
        <v>0.1052412</v>
      </c>
      <c r="F27">
        <f t="shared" si="0"/>
        <v>0</v>
      </c>
      <c r="H27" s="12">
        <f>'Hospital part 2 GLM details'!Y28</f>
        <v>-0.3158994666666667</v>
      </c>
      <c r="I27" s="12">
        <f>'Hospital part 2 GLM details'!AF28</f>
        <v>0.1206242528485211</v>
      </c>
      <c r="J27">
        <f t="shared" si="3"/>
        <v>0</v>
      </c>
      <c r="K27" s="1"/>
      <c r="L27" s="1">
        <f>'Hospital part 2 OLS details'!Y23</f>
        <v>-574.7876333333332</v>
      </c>
      <c r="M27" s="1">
        <f>'Hospital part 2 OLS details'!AF23</f>
        <v>413.536936305706</v>
      </c>
      <c r="N27" s="1">
        <f t="shared" si="1"/>
        <v>0</v>
      </c>
      <c r="O27" s="1"/>
      <c r="P27" s="1"/>
    </row>
    <row r="28" spans="1:14" ht="15.75">
      <c r="A28" t="s">
        <v>17</v>
      </c>
      <c r="B28" s="18">
        <f>'Cost calculator '!B24</f>
        <v>1</v>
      </c>
      <c r="C28" s="18"/>
      <c r="D28" s="12">
        <f>'Hospital part 1 details'!B25</f>
        <v>-2.673697</v>
      </c>
      <c r="E28" s="12">
        <f>'Hospital part 1 details'!C25</f>
        <v>0.0359579</v>
      </c>
      <c r="F28">
        <f t="shared" si="0"/>
        <v>-2.673697</v>
      </c>
      <c r="H28" s="12">
        <f>'Hospital part 2 GLM details'!Y29</f>
        <v>7.901975666666666</v>
      </c>
      <c r="I28" s="12">
        <f>'Hospital part 2 GLM details'!AF29</f>
        <v>0.04317902297647171</v>
      </c>
      <c r="J28">
        <f t="shared" si="3"/>
        <v>7.901975666666666</v>
      </c>
      <c r="L28" s="1">
        <f>'Hospital part 2 OLS details'!Y24</f>
        <v>2802.328</v>
      </c>
      <c r="M28" s="1">
        <f>'Hospital part 2 OLS details'!AF24</f>
        <v>128.3992888131401</v>
      </c>
      <c r="N28" s="1">
        <f t="shared" si="1"/>
        <v>2802.328</v>
      </c>
    </row>
    <row r="29" spans="2:9" ht="12.75">
      <c r="B29" s="17"/>
      <c r="C29" s="17"/>
      <c r="D29" s="12"/>
      <c r="H29" s="12"/>
      <c r="I29" s="12"/>
    </row>
    <row r="30" spans="5:14" ht="12.75">
      <c r="E30" t="s">
        <v>68</v>
      </c>
      <c r="F30" s="62">
        <f>EXP(SUM(F6:F28))/(1+EXP(SUM(F6:F28)))</f>
        <v>0.0694775062833661</v>
      </c>
      <c r="H30" s="12"/>
      <c r="I30" s="12" t="s">
        <v>27</v>
      </c>
      <c r="J30" s="15">
        <f>EXP(SUM(J6:J28))</f>
        <v>2790.377582812656</v>
      </c>
      <c r="M30" s="12" t="s">
        <v>27</v>
      </c>
      <c r="N30" s="15">
        <f>SUM(N6:N28)</f>
        <v>2878.91818</v>
      </c>
    </row>
  </sheetData>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6"/>
  <dimension ref="A1:L30"/>
  <sheetViews>
    <sheetView workbookViewId="0" topLeftCell="A1">
      <selection activeCell="E32" sqref="E32"/>
    </sheetView>
  </sheetViews>
  <sheetFormatPr defaultColWidth="9.140625" defaultRowHeight="12.75"/>
  <cols>
    <col min="6" max="6" width="15.28125" style="0" bestFit="1" customWidth="1"/>
  </cols>
  <sheetData>
    <row r="1" ht="26.25">
      <c r="A1" s="53" t="s">
        <v>85</v>
      </c>
    </row>
    <row r="2" ht="18">
      <c r="A2" s="10" t="s">
        <v>83</v>
      </c>
    </row>
    <row r="4" ht="12.75">
      <c r="A4" s="11" t="s">
        <v>84</v>
      </c>
    </row>
    <row r="5" ht="12.75">
      <c r="J5" t="s">
        <v>57</v>
      </c>
    </row>
    <row r="6" spans="10:12" ht="12.75">
      <c r="J6" s="1" t="s">
        <v>58</v>
      </c>
      <c r="K6" s="1" t="s">
        <v>59</v>
      </c>
      <c r="L6" s="1"/>
    </row>
    <row r="7" spans="10:12" ht="12.75">
      <c r="J7" s="16">
        <f>EXP(J8)/(1+EXP(J8))</f>
        <v>0.9999999998030691</v>
      </c>
      <c r="K7" s="16">
        <f>EXP(K8)/(1+EXP(K8))</f>
        <v>0.9999999844161972</v>
      </c>
      <c r="L7" s="16">
        <f>EXP(L8)/(1+EXP(L8))</f>
        <v>0.9999999999975114</v>
      </c>
    </row>
    <row r="8" spans="2:12" ht="12.75">
      <c r="B8" s="8" t="s">
        <v>39</v>
      </c>
      <c r="C8" s="8" t="s">
        <v>38</v>
      </c>
      <c r="J8">
        <f>SUM(J9:J25)</f>
        <v>22.348168299999998</v>
      </c>
      <c r="K8">
        <f>SUM(K9:K25)</f>
        <v>17.977033728</v>
      </c>
      <c r="L8">
        <f>SUM(L9:L25)</f>
        <v>26.719302872</v>
      </c>
    </row>
    <row r="9" spans="1:12" ht="12.75">
      <c r="A9" t="s">
        <v>21</v>
      </c>
      <c r="B9" s="54">
        <v>0.0169712</v>
      </c>
      <c r="C9" s="54">
        <v>0.0021619</v>
      </c>
      <c r="D9" s="4">
        <v>7.85</v>
      </c>
      <c r="E9" s="4">
        <v>0</v>
      </c>
      <c r="F9" s="4">
        <v>0.012734</v>
      </c>
      <c r="G9" s="4">
        <v>0.0212084</v>
      </c>
      <c r="I9">
        <v>55</v>
      </c>
      <c r="J9">
        <f aca="true" t="shared" si="0" ref="J9:J25">B9*I9</f>
        <v>0.9334159999999999</v>
      </c>
      <c r="K9">
        <f>J9</f>
        <v>0.9334159999999999</v>
      </c>
      <c r="L9">
        <f>K9</f>
        <v>0.9334159999999999</v>
      </c>
    </row>
    <row r="10" spans="1:12" ht="12.75">
      <c r="A10" t="s">
        <v>22</v>
      </c>
      <c r="B10" s="54">
        <v>-0.1077294</v>
      </c>
      <c r="C10" s="54">
        <v>0.0412859</v>
      </c>
      <c r="D10" s="4">
        <v>-2.61</v>
      </c>
      <c r="E10" s="4">
        <v>0.009</v>
      </c>
      <c r="F10" s="4">
        <v>-0.1886483</v>
      </c>
      <c r="G10" s="4">
        <v>-0.0268106</v>
      </c>
      <c r="I10">
        <v>1</v>
      </c>
      <c r="J10">
        <f t="shared" si="0"/>
        <v>-0.1077294</v>
      </c>
      <c r="K10">
        <f>J10</f>
        <v>-0.1077294</v>
      </c>
      <c r="L10">
        <f>K10</f>
        <v>-0.1077294</v>
      </c>
    </row>
    <row r="11" spans="1:12" ht="12.75">
      <c r="A11" t="s">
        <v>40</v>
      </c>
      <c r="B11" s="54">
        <v>3.743191</v>
      </c>
      <c r="C11" s="54">
        <v>0.1365508</v>
      </c>
      <c r="D11" s="4">
        <v>27.41</v>
      </c>
      <c r="E11" s="4">
        <v>0</v>
      </c>
      <c r="F11" s="4">
        <v>3.475556</v>
      </c>
      <c r="G11" s="4">
        <v>4.010825</v>
      </c>
      <c r="I11">
        <v>1</v>
      </c>
      <c r="J11">
        <f t="shared" si="0"/>
        <v>3.743191</v>
      </c>
      <c r="K11">
        <f aca="true" t="shared" si="1" ref="K11:K24">I11*(B11-1.96*C11)</f>
        <v>3.475551432</v>
      </c>
      <c r="L11">
        <f aca="true" t="shared" si="2" ref="L11:L24">I11*(B11+1.96*C11)</f>
        <v>4.010830568</v>
      </c>
    </row>
    <row r="12" spans="1:12" ht="12.75">
      <c r="A12" t="s">
        <v>41</v>
      </c>
      <c r="B12" s="54">
        <v>4.090902</v>
      </c>
      <c r="C12" s="54">
        <v>0.148391</v>
      </c>
      <c r="D12" s="4">
        <v>27.57</v>
      </c>
      <c r="E12" s="4">
        <v>0</v>
      </c>
      <c r="F12" s="4">
        <v>3.800061</v>
      </c>
      <c r="G12" s="4">
        <v>4.381743</v>
      </c>
      <c r="I12">
        <v>1</v>
      </c>
      <c r="J12">
        <f t="shared" si="0"/>
        <v>4.090902</v>
      </c>
      <c r="K12">
        <f t="shared" si="1"/>
        <v>3.80005564</v>
      </c>
      <c r="L12">
        <f t="shared" si="2"/>
        <v>4.38174836</v>
      </c>
    </row>
    <row r="13" spans="1:12" ht="12.75">
      <c r="A13" t="s">
        <v>42</v>
      </c>
      <c r="B13" s="54">
        <v>4.108148</v>
      </c>
      <c r="C13" s="54">
        <v>0.355604</v>
      </c>
      <c r="D13" s="4">
        <v>11.55</v>
      </c>
      <c r="E13" s="4">
        <v>0</v>
      </c>
      <c r="F13" s="4">
        <v>3.411177</v>
      </c>
      <c r="G13" s="4">
        <v>4.805119</v>
      </c>
      <c r="I13">
        <v>1</v>
      </c>
      <c r="J13">
        <f t="shared" si="0"/>
        <v>4.108148</v>
      </c>
      <c r="K13">
        <f t="shared" si="1"/>
        <v>3.4111641600000002</v>
      </c>
      <c r="L13">
        <f t="shared" si="2"/>
        <v>4.80513184</v>
      </c>
    </row>
    <row r="14" spans="1:12" ht="12.75">
      <c r="A14" t="s">
        <v>43</v>
      </c>
      <c r="B14" s="54">
        <v>2.087483</v>
      </c>
      <c r="C14" s="54">
        <v>0.1719926</v>
      </c>
      <c r="D14" s="4">
        <v>12.14</v>
      </c>
      <c r="E14" s="4">
        <v>0</v>
      </c>
      <c r="F14" s="4">
        <v>1.750383</v>
      </c>
      <c r="G14" s="4">
        <v>2.424582</v>
      </c>
      <c r="I14">
        <v>1</v>
      </c>
      <c r="J14">
        <f t="shared" si="0"/>
        <v>2.087483</v>
      </c>
      <c r="K14">
        <f t="shared" si="1"/>
        <v>1.7503775040000003</v>
      </c>
      <c r="L14">
        <f t="shared" si="2"/>
        <v>2.424588496</v>
      </c>
    </row>
    <row r="15" spans="1:12" ht="12.75">
      <c r="A15" t="s">
        <v>44</v>
      </c>
      <c r="B15" s="54">
        <v>2.362645</v>
      </c>
      <c r="C15" s="54">
        <v>0.1331264</v>
      </c>
      <c r="D15" s="4">
        <v>17.75</v>
      </c>
      <c r="E15" s="4">
        <v>0</v>
      </c>
      <c r="F15" s="4">
        <v>2.101722</v>
      </c>
      <c r="G15" s="4">
        <v>2.623568</v>
      </c>
      <c r="I15">
        <v>1</v>
      </c>
      <c r="J15">
        <f t="shared" si="0"/>
        <v>2.362645</v>
      </c>
      <c r="K15">
        <f t="shared" si="1"/>
        <v>2.101717256</v>
      </c>
      <c r="L15">
        <f t="shared" si="2"/>
        <v>2.623572744</v>
      </c>
    </row>
    <row r="16" spans="1:12" ht="12.75">
      <c r="A16" t="s">
        <v>45</v>
      </c>
      <c r="B16" s="54">
        <v>2.821876</v>
      </c>
      <c r="C16" s="54">
        <v>0.191172</v>
      </c>
      <c r="D16" s="4">
        <v>14.76</v>
      </c>
      <c r="E16" s="4">
        <v>0</v>
      </c>
      <c r="F16" s="4">
        <v>2.447186</v>
      </c>
      <c r="G16" s="4">
        <v>3.196567</v>
      </c>
      <c r="I16">
        <v>1</v>
      </c>
      <c r="J16">
        <f t="shared" si="0"/>
        <v>2.821876</v>
      </c>
      <c r="K16">
        <f t="shared" si="1"/>
        <v>2.44717888</v>
      </c>
      <c r="L16">
        <f t="shared" si="2"/>
        <v>3.19657312</v>
      </c>
    </row>
    <row r="17" spans="1:12" ht="12.75">
      <c r="A17" t="s">
        <v>46</v>
      </c>
      <c r="B17" s="54">
        <v>1.330263</v>
      </c>
      <c r="C17" s="54">
        <v>0.1977116</v>
      </c>
      <c r="D17" s="4">
        <v>6.73</v>
      </c>
      <c r="E17" s="4">
        <v>0</v>
      </c>
      <c r="F17" s="4">
        <v>0.9427555</v>
      </c>
      <c r="G17" s="4">
        <v>1.717771</v>
      </c>
      <c r="I17">
        <v>1</v>
      </c>
      <c r="J17">
        <f t="shared" si="0"/>
        <v>1.330263</v>
      </c>
      <c r="K17">
        <f t="shared" si="1"/>
        <v>0.942748264</v>
      </c>
      <c r="L17">
        <f t="shared" si="2"/>
        <v>1.717777736</v>
      </c>
    </row>
    <row r="18" spans="1:12" ht="12.75">
      <c r="A18" t="s">
        <v>49</v>
      </c>
      <c r="B18" s="54">
        <v>0.8085664</v>
      </c>
      <c r="C18" s="54">
        <v>0.08323</v>
      </c>
      <c r="D18" s="4">
        <v>9.71</v>
      </c>
      <c r="E18" s="4">
        <v>0</v>
      </c>
      <c r="F18" s="4">
        <v>0.6454387</v>
      </c>
      <c r="G18" s="4">
        <v>0.9716941</v>
      </c>
      <c r="I18">
        <v>1</v>
      </c>
      <c r="J18">
        <f t="shared" si="0"/>
        <v>0.8085664</v>
      </c>
      <c r="K18">
        <f t="shared" si="1"/>
        <v>0.6454356</v>
      </c>
      <c r="L18">
        <f t="shared" si="2"/>
        <v>0.9716972</v>
      </c>
    </row>
    <row r="19" spans="1:12" ht="12.75">
      <c r="A19" t="s">
        <v>50</v>
      </c>
      <c r="B19" s="54">
        <v>0.3281792</v>
      </c>
      <c r="C19" s="54">
        <v>0.1339832</v>
      </c>
      <c r="D19" s="4">
        <v>2.45</v>
      </c>
      <c r="E19" s="4">
        <v>0.014</v>
      </c>
      <c r="F19" s="4">
        <v>0.065577</v>
      </c>
      <c r="G19" s="4">
        <v>0.5907813</v>
      </c>
      <c r="I19">
        <v>1</v>
      </c>
      <c r="J19">
        <f t="shared" si="0"/>
        <v>0.3281792</v>
      </c>
      <c r="K19">
        <f t="shared" si="1"/>
        <v>0.06557212800000001</v>
      </c>
      <c r="L19">
        <f t="shared" si="2"/>
        <v>0.590786272</v>
      </c>
    </row>
    <row r="20" spans="1:12" ht="12.75">
      <c r="A20" t="s">
        <v>51</v>
      </c>
      <c r="B20" s="54">
        <v>0.8119041</v>
      </c>
      <c r="C20" s="54">
        <v>0.0872834</v>
      </c>
      <c r="D20" s="4">
        <v>9.3</v>
      </c>
      <c r="E20" s="4">
        <v>0</v>
      </c>
      <c r="F20" s="4">
        <v>0.6408318</v>
      </c>
      <c r="G20" s="4">
        <v>0.9829764</v>
      </c>
      <c r="I20">
        <v>1</v>
      </c>
      <c r="J20">
        <f t="shared" si="0"/>
        <v>0.8119041</v>
      </c>
      <c r="K20">
        <f t="shared" si="1"/>
        <v>0.6408286360000001</v>
      </c>
      <c r="L20">
        <f t="shared" si="2"/>
        <v>0.982979564</v>
      </c>
    </row>
    <row r="21" spans="1:12" ht="12.75">
      <c r="A21" t="s">
        <v>52</v>
      </c>
      <c r="B21" s="54">
        <v>1.016475</v>
      </c>
      <c r="C21" s="54">
        <v>0.1353896</v>
      </c>
      <c r="D21" s="4">
        <v>7.51</v>
      </c>
      <c r="E21" s="4">
        <v>0</v>
      </c>
      <c r="F21" s="4">
        <v>0.7511166</v>
      </c>
      <c r="G21" s="4">
        <v>1.281834</v>
      </c>
      <c r="I21">
        <v>1</v>
      </c>
      <c r="J21">
        <f t="shared" si="0"/>
        <v>1.016475</v>
      </c>
      <c r="K21">
        <f t="shared" si="1"/>
        <v>0.7511113840000001</v>
      </c>
      <c r="L21">
        <f t="shared" si="2"/>
        <v>1.281838616</v>
      </c>
    </row>
    <row r="22" spans="1:12" ht="12.75">
      <c r="A22" t="s">
        <v>53</v>
      </c>
      <c r="B22" s="54">
        <v>0.471096</v>
      </c>
      <c r="C22" s="54">
        <v>0.1345453</v>
      </c>
      <c r="D22" s="4">
        <v>3.5</v>
      </c>
      <c r="E22" s="4">
        <v>0</v>
      </c>
      <c r="F22" s="4">
        <v>0.2073921</v>
      </c>
      <c r="G22" s="4">
        <v>0.7347999</v>
      </c>
      <c r="I22">
        <v>1</v>
      </c>
      <c r="J22">
        <f t="shared" si="0"/>
        <v>0.471096</v>
      </c>
      <c r="K22">
        <f t="shared" si="1"/>
        <v>0.207387212</v>
      </c>
      <c r="L22">
        <f t="shared" si="2"/>
        <v>0.734804788</v>
      </c>
    </row>
    <row r="23" spans="1:12" ht="12.75">
      <c r="A23" t="s">
        <v>54</v>
      </c>
      <c r="B23" s="54">
        <v>0.3085408</v>
      </c>
      <c r="C23" s="54">
        <v>0.2159496</v>
      </c>
      <c r="D23" s="4">
        <v>1.43</v>
      </c>
      <c r="E23" s="4">
        <v>0.153</v>
      </c>
      <c r="F23" s="4">
        <v>-0.1147126</v>
      </c>
      <c r="G23" s="4">
        <v>0.7317942</v>
      </c>
      <c r="I23">
        <v>1</v>
      </c>
      <c r="J23">
        <f t="shared" si="0"/>
        <v>0.3085408</v>
      </c>
      <c r="K23">
        <f t="shared" si="1"/>
        <v>-0.11472041599999999</v>
      </c>
      <c r="L23">
        <f t="shared" si="2"/>
        <v>0.731802016</v>
      </c>
    </row>
    <row r="24" spans="1:12" ht="12.75">
      <c r="A24" t="s">
        <v>55</v>
      </c>
      <c r="B24" s="54">
        <v>-0.0930908</v>
      </c>
      <c r="C24" s="54">
        <v>0.1052412</v>
      </c>
      <c r="D24" s="4">
        <v>-0.88</v>
      </c>
      <c r="E24" s="4">
        <v>0.376</v>
      </c>
      <c r="F24" s="4">
        <v>-0.2993597</v>
      </c>
      <c r="G24" s="4">
        <v>0.1131781</v>
      </c>
      <c r="I24">
        <v>1</v>
      </c>
      <c r="J24">
        <f t="shared" si="0"/>
        <v>-0.0930908</v>
      </c>
      <c r="K24">
        <f t="shared" si="1"/>
        <v>-0.299363552</v>
      </c>
      <c r="L24">
        <f t="shared" si="2"/>
        <v>0.11318195199999997</v>
      </c>
    </row>
    <row r="25" spans="1:12" ht="12.75">
      <c r="A25" t="s">
        <v>23</v>
      </c>
      <c r="B25" s="54">
        <v>-2.673697</v>
      </c>
      <c r="C25" s="54">
        <v>0.0359579</v>
      </c>
      <c r="D25" s="4">
        <v>-74.36</v>
      </c>
      <c r="E25" s="4">
        <v>0</v>
      </c>
      <c r="F25" s="4">
        <v>-2.744173</v>
      </c>
      <c r="G25" s="4">
        <v>-2.603221</v>
      </c>
      <c r="I25">
        <v>1</v>
      </c>
      <c r="J25">
        <f t="shared" si="0"/>
        <v>-2.673697</v>
      </c>
      <c r="K25">
        <f>J25</f>
        <v>-2.673697</v>
      </c>
      <c r="L25">
        <f>K25</f>
        <v>-2.673697</v>
      </c>
    </row>
    <row r="27" spans="1:7" ht="12.75">
      <c r="A27" t="s">
        <v>0</v>
      </c>
      <c r="B27" s="4">
        <v>-0.2811145</v>
      </c>
      <c r="C27" s="4">
        <v>0.0594703</v>
      </c>
      <c r="D27" s="4"/>
      <c r="E27" s="4"/>
      <c r="F27" s="4">
        <v>-0.3976741</v>
      </c>
      <c r="G27" s="4">
        <v>-0.1645548</v>
      </c>
    </row>
    <row r="28" spans="2:7" ht="12.75">
      <c r="B28" s="4"/>
      <c r="C28" s="4"/>
      <c r="D28" s="4"/>
      <c r="E28" s="4"/>
      <c r="F28" s="4"/>
      <c r="G28" s="4"/>
    </row>
    <row r="29" spans="1:7" ht="12.75">
      <c r="A29" t="s">
        <v>1</v>
      </c>
      <c r="B29" s="4">
        <v>0.8688739</v>
      </c>
      <c r="C29" s="4">
        <v>0.0258361</v>
      </c>
      <c r="D29" s="4"/>
      <c r="E29" s="4"/>
      <c r="F29" s="4">
        <v>0.8196834</v>
      </c>
      <c r="G29" s="4">
        <v>0.9210164</v>
      </c>
    </row>
    <row r="30" spans="1:7" ht="12.75">
      <c r="A30" t="s">
        <v>2</v>
      </c>
      <c r="B30" s="4">
        <v>0.4301806</v>
      </c>
      <c r="C30" s="4">
        <v>0.0145777</v>
      </c>
      <c r="D30" s="4"/>
      <c r="E30" s="4"/>
      <c r="F30" s="4">
        <v>0.4018713</v>
      </c>
      <c r="G30" s="4">
        <v>0.4589539</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7"/>
  <dimension ref="A1:AG31"/>
  <sheetViews>
    <sheetView workbookViewId="0" topLeftCell="A1">
      <selection activeCell="AB33" sqref="AB33"/>
    </sheetView>
  </sheetViews>
  <sheetFormatPr defaultColWidth="9.140625" defaultRowHeight="12.75"/>
  <cols>
    <col min="1" max="1" width="14.7109375" style="0" customWidth="1"/>
    <col min="2" max="2" width="10.421875" style="0" customWidth="1"/>
    <col min="3" max="3" width="9.7109375" style="0" customWidth="1"/>
    <col min="4" max="4" width="8.57421875" style="0" customWidth="1"/>
    <col min="5" max="5" width="8.28125" style="0" customWidth="1"/>
    <col min="6" max="6" width="8.00390625" style="0" customWidth="1"/>
    <col min="7" max="7" width="10.7109375" style="0" customWidth="1"/>
    <col min="8" max="8" width="8.28125" style="0" customWidth="1"/>
    <col min="9" max="9" width="12.140625" style="0" customWidth="1"/>
    <col min="10" max="10" width="10.7109375" style="0" customWidth="1"/>
    <col min="11" max="11" width="13.421875" style="0" customWidth="1"/>
    <col min="12" max="12" width="10.00390625" style="0" customWidth="1"/>
    <col min="13" max="15" width="16.28125" style="0" customWidth="1"/>
    <col min="16" max="16" width="8.00390625" style="0" customWidth="1"/>
    <col min="17" max="18" width="12.7109375" style="0" customWidth="1"/>
    <col min="19" max="19" width="12.421875" style="0" customWidth="1"/>
    <col min="20" max="20" width="10.140625" style="0" customWidth="1"/>
    <col min="21" max="21" width="10.421875" style="0" customWidth="1"/>
    <col min="22" max="22" width="9.8515625" style="0" customWidth="1"/>
    <col min="23" max="23" width="8.57421875" style="0" customWidth="1"/>
    <col min="24" max="24" width="11.140625" style="0" customWidth="1"/>
    <col min="25" max="25" width="10.7109375" style="0" customWidth="1"/>
    <col min="26" max="26" width="13.28125" style="0" customWidth="1"/>
    <col min="27" max="27" width="12.7109375" style="0" customWidth="1"/>
    <col min="28" max="28" width="14.28125" style="0" customWidth="1"/>
    <col min="29" max="29" width="15.140625" style="0" customWidth="1"/>
    <col min="30" max="16384" width="16.28125" style="0" customWidth="1"/>
  </cols>
  <sheetData>
    <row r="1" ht="26.25">
      <c r="A1" s="53" t="s">
        <v>87</v>
      </c>
    </row>
    <row r="3" ht="12.75">
      <c r="A3" t="s">
        <v>86</v>
      </c>
    </row>
    <row r="4" ht="12.75">
      <c r="A4" t="s">
        <v>28</v>
      </c>
    </row>
    <row r="7" spans="9:31" ht="12.75">
      <c r="I7" s="11" t="s">
        <v>29</v>
      </c>
      <c r="Q7" s="11" t="s">
        <v>30</v>
      </c>
      <c r="X7" s="11" t="s">
        <v>31</v>
      </c>
      <c r="AE7" s="11" t="s">
        <v>32</v>
      </c>
    </row>
    <row r="8" spans="3:19" ht="12.75">
      <c r="C8" t="s">
        <v>33</v>
      </c>
      <c r="K8" t="s">
        <v>33</v>
      </c>
      <c r="S8" t="s">
        <v>33</v>
      </c>
    </row>
    <row r="9" spans="1:32" ht="12.75">
      <c r="A9" t="s">
        <v>36</v>
      </c>
      <c r="B9" t="s">
        <v>24</v>
      </c>
      <c r="C9" t="s">
        <v>35</v>
      </c>
      <c r="D9" t="s">
        <v>25</v>
      </c>
      <c r="E9" t="s">
        <v>88</v>
      </c>
      <c r="F9" t="s">
        <v>89</v>
      </c>
      <c r="G9" t="s">
        <v>26</v>
      </c>
      <c r="I9" t="s">
        <v>37</v>
      </c>
      <c r="J9" t="s">
        <v>24</v>
      </c>
      <c r="K9" t="s">
        <v>35</v>
      </c>
      <c r="L9" t="s">
        <v>25</v>
      </c>
      <c r="M9" t="s">
        <v>88</v>
      </c>
      <c r="N9" t="s">
        <v>89</v>
      </c>
      <c r="O9" t="s">
        <v>26</v>
      </c>
      <c r="Q9" t="s">
        <v>34</v>
      </c>
      <c r="R9" t="s">
        <v>24</v>
      </c>
      <c r="S9" t="s">
        <v>35</v>
      </c>
      <c r="T9" t="s">
        <v>25</v>
      </c>
      <c r="U9" t="s">
        <v>88</v>
      </c>
      <c r="V9" t="s">
        <v>89</v>
      </c>
      <c r="W9" t="s">
        <v>26</v>
      </c>
      <c r="Y9" t="s">
        <v>5</v>
      </c>
      <c r="Z9" t="s">
        <v>90</v>
      </c>
      <c r="AA9" t="s">
        <v>91</v>
      </c>
      <c r="AB9" t="s">
        <v>92</v>
      </c>
      <c r="AC9" t="s">
        <v>93</v>
      </c>
      <c r="AD9" t="s">
        <v>94</v>
      </c>
      <c r="AE9" t="s">
        <v>95</v>
      </c>
      <c r="AF9" t="s">
        <v>38</v>
      </c>
    </row>
    <row r="10" spans="31:32" ht="12.75">
      <c r="AE10" s="8"/>
      <c r="AF10" s="8"/>
    </row>
    <row r="11" spans="1:33" ht="12.75">
      <c r="A11" s="4" t="s">
        <v>21</v>
      </c>
      <c r="B11" s="4">
        <v>0.0127066</v>
      </c>
      <c r="C11" s="4">
        <v>0.0022909</v>
      </c>
      <c r="D11" s="4">
        <v>5.55</v>
      </c>
      <c r="E11" s="4">
        <v>0</v>
      </c>
      <c r="F11" s="4">
        <v>0.0082165</v>
      </c>
      <c r="G11" s="4">
        <v>0.0171966</v>
      </c>
      <c r="I11" s="4" t="s">
        <v>21</v>
      </c>
      <c r="J11" s="4">
        <v>0.01267</v>
      </c>
      <c r="K11" s="4">
        <v>0.002401</v>
      </c>
      <c r="L11" s="4">
        <v>5.28</v>
      </c>
      <c r="M11" s="4">
        <v>0</v>
      </c>
      <c r="N11" s="4">
        <v>0.007964</v>
      </c>
      <c r="O11" s="4">
        <v>0.0173759</v>
      </c>
      <c r="Q11" s="4" t="s">
        <v>21</v>
      </c>
      <c r="R11" s="4">
        <v>0.0123663</v>
      </c>
      <c r="S11" s="4">
        <v>0.0021726</v>
      </c>
      <c r="T11" s="4">
        <v>5.69</v>
      </c>
      <c r="U11" s="4">
        <v>0</v>
      </c>
      <c r="V11" s="4">
        <v>0.008108</v>
      </c>
      <c r="W11" s="4">
        <v>0.0166246</v>
      </c>
      <c r="X11" t="str">
        <f>A11</f>
        <v>agenow</v>
      </c>
      <c r="Y11" s="54">
        <f>(R11+J11+B11)/3</f>
        <v>0.012580966666666667</v>
      </c>
      <c r="Z11">
        <f>(C11*SQRT(3059))^2</f>
        <v>0.016054313575789996</v>
      </c>
      <c r="AA11">
        <f>(K11*SQRT(3059))^2</f>
        <v>0.017634526259</v>
      </c>
      <c r="AB11">
        <f>(S11*SQRT(3059))^2</f>
        <v>0.014439063534839999</v>
      </c>
      <c r="AC11">
        <f>(Z11+AA11+AB11)/3</f>
        <v>0.016042634456543334</v>
      </c>
      <c r="AD11">
        <f>1/(3-1)*((B11-Y11)^2+(J11-Y11)^2+(R11-Y11)^2)</f>
        <v>3.489622333333338E-08</v>
      </c>
      <c r="AE11">
        <f>AC11+(1+1/3)*AD11</f>
        <v>0.01604268098484111</v>
      </c>
      <c r="AF11" s="54">
        <f>SQRT(AE11)/SQRT(3059)</f>
        <v>0.002290069882550186</v>
      </c>
      <c r="AG11" s="55">
        <f>EXP(Y11)</f>
        <v>1.0126604399617138</v>
      </c>
    </row>
    <row r="12" spans="1:33" ht="12.75">
      <c r="A12" s="4" t="s">
        <v>22</v>
      </c>
      <c r="B12" s="4">
        <v>-0.124642</v>
      </c>
      <c r="C12" s="4">
        <v>0.0480063</v>
      </c>
      <c r="D12" s="4">
        <v>-2.6</v>
      </c>
      <c r="E12" s="4">
        <v>0.009</v>
      </c>
      <c r="F12" s="4">
        <v>-0.2187326</v>
      </c>
      <c r="G12" s="4">
        <v>-0.0305514</v>
      </c>
      <c r="I12" s="4" t="s">
        <v>22</v>
      </c>
      <c r="J12" s="4">
        <v>-0.0881362</v>
      </c>
      <c r="K12" s="4">
        <v>0.0485802</v>
      </c>
      <c r="L12" s="4">
        <v>-1.81</v>
      </c>
      <c r="M12" s="4">
        <v>0.07</v>
      </c>
      <c r="N12" s="4">
        <v>-0.1833517</v>
      </c>
      <c r="O12" s="4">
        <v>0.0070792</v>
      </c>
      <c r="Q12" s="4" t="s">
        <v>22</v>
      </c>
      <c r="R12" s="4">
        <v>-0.1065241</v>
      </c>
      <c r="S12" s="4">
        <v>0.0458995</v>
      </c>
      <c r="T12" s="4">
        <v>-2.32</v>
      </c>
      <c r="U12" s="4">
        <v>0.02</v>
      </c>
      <c r="V12" s="4">
        <v>-0.1964854</v>
      </c>
      <c r="W12" s="4">
        <v>-0.0165628</v>
      </c>
      <c r="X12" t="str">
        <f aca="true" t="shared" si="0" ref="X12:X29">A12</f>
        <v>male</v>
      </c>
      <c r="Y12" s="54">
        <f aca="true" t="shared" si="1" ref="Y12:Y29">(R12+J12+B12)/3</f>
        <v>-0.10643410000000002</v>
      </c>
      <c r="Z12">
        <f aca="true" t="shared" si="2" ref="Z12:Z27">(C12*SQRT(3059))^2</f>
        <v>7.049786204611711</v>
      </c>
      <c r="AA12">
        <f aca="true" t="shared" si="3" ref="AA12:AA27">(K12*SQRT(3059))^2</f>
        <v>7.21934961021036</v>
      </c>
      <c r="AB12">
        <f aca="true" t="shared" si="4" ref="AB12:AB27">(S12*SQRT(3059))^2</f>
        <v>6.4445913826647505</v>
      </c>
      <c r="AC12">
        <f aca="true" t="shared" si="5" ref="AC12:AC27">(Z12+AA12+AB12)/3</f>
        <v>6.904575732495608</v>
      </c>
      <c r="AD12">
        <f aca="true" t="shared" si="6" ref="AD12:AD27">1/(3-1)*((B12-Y12)^2+(J12-Y12)^2+(R12-Y12)^2)</f>
        <v>0.00033317443341000005</v>
      </c>
      <c r="AE12">
        <f aca="true" t="shared" si="7" ref="AE12:AE27">AC12+(1+1/3)*AD12</f>
        <v>6.905019965073488</v>
      </c>
      <c r="AF12" s="54">
        <f aca="true" t="shared" si="8" ref="AF12:AF29">SQRT(AE12)/SQRT(3059)</f>
        <v>0.04751084239935554</v>
      </c>
      <c r="AG12" s="55">
        <f aca="true" t="shared" si="9" ref="AG12:AG27">EXP(Y12)</f>
        <v>0.899034292568987</v>
      </c>
    </row>
    <row r="13" spans="1:33" ht="12.75">
      <c r="A13" s="4" t="s">
        <v>40</v>
      </c>
      <c r="B13" s="4">
        <v>-0.4619302</v>
      </c>
      <c r="C13" s="4">
        <v>0.1053914</v>
      </c>
      <c r="D13" s="4">
        <v>-4.38</v>
      </c>
      <c r="E13" s="4">
        <v>0</v>
      </c>
      <c r="F13" s="4">
        <v>-0.6684935</v>
      </c>
      <c r="G13" s="4">
        <v>-0.2553669</v>
      </c>
      <c r="I13" s="4" t="s">
        <v>40</v>
      </c>
      <c r="J13" s="4">
        <v>-0.4813715</v>
      </c>
      <c r="K13" s="4">
        <v>0.1093685</v>
      </c>
      <c r="L13" s="4">
        <v>-4.4</v>
      </c>
      <c r="M13" s="4">
        <v>0</v>
      </c>
      <c r="N13" s="4">
        <v>-0.6957299</v>
      </c>
      <c r="O13" s="4">
        <v>-0.2670131</v>
      </c>
      <c r="Q13" s="4" t="s">
        <v>40</v>
      </c>
      <c r="R13" s="4">
        <v>-0.5102919</v>
      </c>
      <c r="S13" s="4">
        <v>0.0948736</v>
      </c>
      <c r="T13" s="4">
        <v>-5.38</v>
      </c>
      <c r="U13" s="4">
        <v>0</v>
      </c>
      <c r="V13" s="4">
        <v>-0.6962408</v>
      </c>
      <c r="W13" s="4">
        <v>-0.324343</v>
      </c>
      <c r="X13" t="str">
        <f t="shared" si="0"/>
        <v>fatmi</v>
      </c>
      <c r="Y13" s="54">
        <f t="shared" si="1"/>
        <v>-0.4845312</v>
      </c>
      <c r="Z13">
        <f t="shared" si="2"/>
        <v>33.977375066323646</v>
      </c>
      <c r="AA13">
        <f t="shared" si="3"/>
        <v>36.59013303549275</v>
      </c>
      <c r="AB13">
        <f t="shared" si="4"/>
        <v>27.53405892952064</v>
      </c>
      <c r="AC13">
        <f t="shared" si="5"/>
        <v>32.700522343779014</v>
      </c>
      <c r="AD13">
        <f t="shared" si="6"/>
        <v>0.0005922012847900003</v>
      </c>
      <c r="AE13">
        <f t="shared" si="7"/>
        <v>32.701311945492066</v>
      </c>
      <c r="AF13" s="54">
        <f t="shared" si="8"/>
        <v>0.10339340780978157</v>
      </c>
      <c r="AG13" s="55">
        <f t="shared" si="9"/>
        <v>0.6159859032776475</v>
      </c>
    </row>
    <row r="14" spans="1:33" ht="12.75">
      <c r="A14" s="4" t="s">
        <v>41</v>
      </c>
      <c r="B14" s="4">
        <v>0.6967833</v>
      </c>
      <c r="C14" s="4">
        <v>0.0657457</v>
      </c>
      <c r="D14" s="4">
        <v>10.6</v>
      </c>
      <c r="E14" s="4">
        <v>0</v>
      </c>
      <c r="F14" s="4">
        <v>0.567924</v>
      </c>
      <c r="G14" s="4">
        <v>0.8256425</v>
      </c>
      <c r="I14" s="4" t="s">
        <v>41</v>
      </c>
      <c r="J14" s="4">
        <v>0.6868583</v>
      </c>
      <c r="K14" s="4">
        <v>0.0676324</v>
      </c>
      <c r="L14" s="4">
        <v>10.16</v>
      </c>
      <c r="M14" s="4">
        <v>0</v>
      </c>
      <c r="N14" s="4">
        <v>0.5543013</v>
      </c>
      <c r="O14" s="4">
        <v>0.8194153</v>
      </c>
      <c r="Q14" s="4" t="s">
        <v>41</v>
      </c>
      <c r="R14" s="4">
        <v>0.7057179</v>
      </c>
      <c r="S14" s="4">
        <v>0.0640227</v>
      </c>
      <c r="T14" s="4">
        <v>11.02</v>
      </c>
      <c r="U14" s="4">
        <v>0</v>
      </c>
      <c r="V14" s="4">
        <v>0.5802357</v>
      </c>
      <c r="W14" s="4">
        <v>0.8312</v>
      </c>
      <c r="X14" t="str">
        <f t="shared" si="0"/>
        <v>nfmi</v>
      </c>
      <c r="Y14" s="54">
        <f t="shared" si="1"/>
        <v>0.6964531666666667</v>
      </c>
      <c r="Z14">
        <f t="shared" si="2"/>
        <v>13.222518532510913</v>
      </c>
      <c r="AA14">
        <f t="shared" si="3"/>
        <v>13.99229893953584</v>
      </c>
      <c r="AB14">
        <f t="shared" si="4"/>
        <v>12.53855380667211</v>
      </c>
      <c r="AC14">
        <f t="shared" si="5"/>
        <v>13.251123759572955</v>
      </c>
      <c r="AD14">
        <f t="shared" si="6"/>
        <v>8.90028690533331E-05</v>
      </c>
      <c r="AE14">
        <f t="shared" si="7"/>
        <v>13.251242430065027</v>
      </c>
      <c r="AF14" s="54">
        <f t="shared" si="8"/>
        <v>0.06581707249438375</v>
      </c>
      <c r="AG14" s="55">
        <f t="shared" si="9"/>
        <v>2.0066229138118485</v>
      </c>
    </row>
    <row r="15" spans="1:33" ht="12.75">
      <c r="A15" s="4" t="s">
        <v>42</v>
      </c>
      <c r="B15" s="4">
        <v>0.4859015</v>
      </c>
      <c r="C15" s="4">
        <v>0.2757547</v>
      </c>
      <c r="D15" s="4">
        <v>1.76</v>
      </c>
      <c r="E15" s="4">
        <v>0.078</v>
      </c>
      <c r="F15" s="4">
        <v>-0.0545678</v>
      </c>
      <c r="G15" s="4">
        <v>1.026371</v>
      </c>
      <c r="I15" s="4" t="s">
        <v>42</v>
      </c>
      <c r="J15" s="4">
        <v>0.5342422</v>
      </c>
      <c r="K15" s="4">
        <v>0.2771764</v>
      </c>
      <c r="L15" s="4">
        <v>1.93</v>
      </c>
      <c r="M15" s="4">
        <v>0.054</v>
      </c>
      <c r="N15" s="4">
        <v>-0.0090137</v>
      </c>
      <c r="O15" s="4">
        <v>1.077498</v>
      </c>
      <c r="Q15" s="4" t="s">
        <v>42</v>
      </c>
      <c r="R15" s="4">
        <v>0.503767</v>
      </c>
      <c r="S15" s="4">
        <v>0.2793207</v>
      </c>
      <c r="T15" s="4">
        <v>1.8</v>
      </c>
      <c r="U15" s="4">
        <v>0.071</v>
      </c>
      <c r="V15" s="4">
        <v>-0.0436915</v>
      </c>
      <c r="W15" s="4">
        <v>1.051226</v>
      </c>
      <c r="X15" t="str">
        <f t="shared" si="0"/>
        <v>fatstr</v>
      </c>
      <c r="Y15" s="54">
        <f t="shared" si="1"/>
        <v>0.5079702333333332</v>
      </c>
      <c r="Z15">
        <f t="shared" si="2"/>
        <v>232.60836233602336</v>
      </c>
      <c r="AA15">
        <f t="shared" si="3"/>
        <v>235.01304879718063</v>
      </c>
      <c r="AB15">
        <f t="shared" si="4"/>
        <v>238.66334349893089</v>
      </c>
      <c r="AC15">
        <f t="shared" si="5"/>
        <v>235.42825154404497</v>
      </c>
      <c r="AD15">
        <f t="shared" si="6"/>
        <v>0.0005974561969633338</v>
      </c>
      <c r="AE15">
        <f t="shared" si="7"/>
        <v>235.4290481523076</v>
      </c>
      <c r="AF15" s="54">
        <f t="shared" si="8"/>
        <v>0.27742160813542815</v>
      </c>
      <c r="AG15" s="55">
        <f t="shared" si="9"/>
        <v>1.6619144705287523</v>
      </c>
    </row>
    <row r="16" spans="1:33" ht="12.75">
      <c r="A16" s="4" t="s">
        <v>43</v>
      </c>
      <c r="B16" s="4">
        <v>0.9707486</v>
      </c>
      <c r="C16" s="4">
        <v>0.138019</v>
      </c>
      <c r="D16" s="4">
        <v>7.03</v>
      </c>
      <c r="E16" s="4">
        <v>0</v>
      </c>
      <c r="F16" s="4">
        <v>0.7002363</v>
      </c>
      <c r="G16" s="4">
        <v>1.241261</v>
      </c>
      <c r="I16" s="4" t="s">
        <v>43</v>
      </c>
      <c r="J16" s="4">
        <v>0.9769963</v>
      </c>
      <c r="K16" s="4">
        <v>0.1333101</v>
      </c>
      <c r="L16" s="4">
        <v>7.33</v>
      </c>
      <c r="M16" s="4">
        <v>0</v>
      </c>
      <c r="N16" s="4">
        <v>0.7157133</v>
      </c>
      <c r="O16" s="4">
        <v>1.238279</v>
      </c>
      <c r="Q16" s="4" t="s">
        <v>43</v>
      </c>
      <c r="R16" s="4">
        <v>1.012426</v>
      </c>
      <c r="S16" s="4">
        <v>0.1281042</v>
      </c>
      <c r="T16" s="4">
        <v>7.9</v>
      </c>
      <c r="U16" s="4">
        <v>0</v>
      </c>
      <c r="V16" s="4">
        <v>0.7613469</v>
      </c>
      <c r="W16" s="4">
        <v>1.263506</v>
      </c>
      <c r="X16" t="str">
        <f t="shared" si="0"/>
        <v>nfstr</v>
      </c>
      <c r="Y16" s="54">
        <f t="shared" si="1"/>
        <v>0.9867236333333333</v>
      </c>
      <c r="Z16">
        <f t="shared" si="2"/>
        <v>58.271638500299</v>
      </c>
      <c r="AA16">
        <f t="shared" si="3"/>
        <v>54.36327166898859</v>
      </c>
      <c r="AB16">
        <f t="shared" si="4"/>
        <v>50.200288650320765</v>
      </c>
      <c r="AC16">
        <f t="shared" si="5"/>
        <v>54.27839960653612</v>
      </c>
      <c r="AD16">
        <f t="shared" si="6"/>
        <v>0.0005052171780233348</v>
      </c>
      <c r="AE16">
        <f t="shared" si="7"/>
        <v>54.27907322944015</v>
      </c>
      <c r="AF16" s="54">
        <f t="shared" si="8"/>
        <v>0.13320682391323416</v>
      </c>
      <c r="AG16" s="55">
        <f t="shared" si="9"/>
        <v>2.6824314303033794</v>
      </c>
    </row>
    <row r="17" spans="1:33" ht="12.75">
      <c r="A17" s="4" t="s">
        <v>44</v>
      </c>
      <c r="B17" s="4">
        <v>0.6032303</v>
      </c>
      <c r="C17" s="4">
        <v>0.1236746</v>
      </c>
      <c r="D17" s="4">
        <v>4.88</v>
      </c>
      <c r="E17" s="4">
        <v>0</v>
      </c>
      <c r="F17" s="4">
        <v>0.3608326</v>
      </c>
      <c r="G17" s="4">
        <v>0.845628</v>
      </c>
      <c r="I17" s="4" t="s">
        <v>44</v>
      </c>
      <c r="J17" s="4">
        <v>0.6608968</v>
      </c>
      <c r="K17" s="4">
        <v>0.1243221</v>
      </c>
      <c r="L17" s="4">
        <v>5.32</v>
      </c>
      <c r="M17" s="4">
        <v>0</v>
      </c>
      <c r="N17" s="4">
        <v>0.4172298</v>
      </c>
      <c r="O17" s="4">
        <v>0.9045637</v>
      </c>
      <c r="Q17" s="4" t="s">
        <v>44</v>
      </c>
      <c r="R17" s="4">
        <v>0.6160077</v>
      </c>
      <c r="S17" s="4">
        <v>0.1227042</v>
      </c>
      <c r="T17" s="4">
        <v>5.02</v>
      </c>
      <c r="U17" s="4">
        <v>0</v>
      </c>
      <c r="V17" s="4">
        <v>0.3755118</v>
      </c>
      <c r="W17" s="4">
        <v>0.8565035</v>
      </c>
      <c r="X17" t="str">
        <f t="shared" si="0"/>
        <v>ihd</v>
      </c>
      <c r="Y17" s="54">
        <f t="shared" si="1"/>
        <v>0.6267116</v>
      </c>
      <c r="Z17">
        <f t="shared" si="2"/>
        <v>46.788649049904436</v>
      </c>
      <c r="AA17">
        <f t="shared" si="3"/>
        <v>47.2798567335862</v>
      </c>
      <c r="AB17">
        <f t="shared" si="4"/>
        <v>46.05728501408076</v>
      </c>
      <c r="AC17">
        <f t="shared" si="5"/>
        <v>46.7085969325238</v>
      </c>
      <c r="AD17">
        <f t="shared" si="6"/>
        <v>0.0009172864119699978</v>
      </c>
      <c r="AE17">
        <f t="shared" si="7"/>
        <v>46.70981998107309</v>
      </c>
      <c r="AF17" s="54">
        <f t="shared" si="8"/>
        <v>0.12357037318925507</v>
      </c>
      <c r="AG17" s="55">
        <f t="shared" si="9"/>
        <v>1.871446385357858</v>
      </c>
    </row>
    <row r="18" spans="1:33" ht="12.75">
      <c r="A18" s="4" t="s">
        <v>45</v>
      </c>
      <c r="B18" s="4">
        <v>0.4690878</v>
      </c>
      <c r="C18" s="4">
        <v>0.1087249</v>
      </c>
      <c r="D18" s="4">
        <v>4.31</v>
      </c>
      <c r="E18" s="4">
        <v>0</v>
      </c>
      <c r="F18" s="4">
        <v>0.2559908</v>
      </c>
      <c r="G18" s="4">
        <v>0.6821847</v>
      </c>
      <c r="I18" s="4" t="s">
        <v>45</v>
      </c>
      <c r="J18" s="4">
        <v>0.5427955</v>
      </c>
      <c r="K18" s="4">
        <v>0.1069591</v>
      </c>
      <c r="L18" s="4">
        <v>5.07</v>
      </c>
      <c r="M18" s="4">
        <v>0</v>
      </c>
      <c r="N18" s="4">
        <v>0.3331596</v>
      </c>
      <c r="O18" s="4">
        <v>0.7524314</v>
      </c>
      <c r="Q18" s="4" t="s">
        <v>45</v>
      </c>
      <c r="R18" s="4">
        <v>0.5124492</v>
      </c>
      <c r="S18" s="4">
        <v>0.1036615</v>
      </c>
      <c r="T18" s="4">
        <v>4.94</v>
      </c>
      <c r="U18" s="4">
        <v>0</v>
      </c>
      <c r="V18" s="4">
        <v>0.3092764</v>
      </c>
      <c r="W18" s="4">
        <v>0.7156221</v>
      </c>
      <c r="X18" t="str">
        <f t="shared" si="0"/>
        <v>hf</v>
      </c>
      <c r="Y18" s="54">
        <f t="shared" si="1"/>
        <v>0.5081108333333334</v>
      </c>
      <c r="Z18">
        <f t="shared" si="2"/>
        <v>36.16075676895059</v>
      </c>
      <c r="AA18">
        <f t="shared" si="3"/>
        <v>34.995721913725795</v>
      </c>
      <c r="AB18">
        <f t="shared" si="4"/>
        <v>32.87111643510275</v>
      </c>
      <c r="AC18">
        <f t="shared" si="5"/>
        <v>34.67586503925971</v>
      </c>
      <c r="AD18">
        <f t="shared" si="6"/>
        <v>0.0013723223288233332</v>
      </c>
      <c r="AE18">
        <f t="shared" si="7"/>
        <v>34.67769480236481</v>
      </c>
      <c r="AF18" s="54">
        <f t="shared" si="8"/>
        <v>0.10647199006764776</v>
      </c>
      <c r="AG18" s="55">
        <f t="shared" si="9"/>
        <v>1.6621481521307406</v>
      </c>
    </row>
    <row r="19" spans="1:33" ht="12.75">
      <c r="A19" s="4" t="s">
        <v>46</v>
      </c>
      <c r="B19" s="4">
        <v>0.4347708</v>
      </c>
      <c r="C19" s="4">
        <v>0.1516266</v>
      </c>
      <c r="D19" s="4">
        <v>2.87</v>
      </c>
      <c r="E19" s="4">
        <v>0.004</v>
      </c>
      <c r="F19" s="4">
        <v>0.1375881</v>
      </c>
      <c r="G19" s="4">
        <v>0.7319535</v>
      </c>
      <c r="I19" s="4" t="s">
        <v>46</v>
      </c>
      <c r="J19" s="4">
        <v>0.6613738</v>
      </c>
      <c r="K19" s="4">
        <v>0.1718549</v>
      </c>
      <c r="L19" s="4">
        <v>3.85</v>
      </c>
      <c r="M19" s="4">
        <v>0</v>
      </c>
      <c r="N19" s="4">
        <v>0.3245445</v>
      </c>
      <c r="O19" s="4">
        <v>0.9982032</v>
      </c>
      <c r="Q19" s="4" t="s">
        <v>46</v>
      </c>
      <c r="R19" s="4">
        <v>0.527948</v>
      </c>
      <c r="S19" s="4">
        <v>0.1428912</v>
      </c>
      <c r="T19" s="4">
        <v>3.69</v>
      </c>
      <c r="U19" s="4">
        <v>0</v>
      </c>
      <c r="V19" s="4">
        <v>0.2478864</v>
      </c>
      <c r="W19" s="4">
        <v>0.8080096</v>
      </c>
      <c r="X19" t="str">
        <f t="shared" si="0"/>
        <v>blind</v>
      </c>
      <c r="Y19" s="54">
        <f t="shared" si="1"/>
        <v>0.5413642</v>
      </c>
      <c r="Z19">
        <f t="shared" si="2"/>
        <v>70.32832440650606</v>
      </c>
      <c r="AA19">
        <f t="shared" si="3"/>
        <v>90.3448322546166</v>
      </c>
      <c r="AB19">
        <f t="shared" si="4"/>
        <v>62.458340919528965</v>
      </c>
      <c r="AC19">
        <f t="shared" si="5"/>
        <v>74.3771658602172</v>
      </c>
      <c r="AD19">
        <f t="shared" si="6"/>
        <v>0.012972225719079999</v>
      </c>
      <c r="AE19">
        <f t="shared" si="7"/>
        <v>74.39446216117598</v>
      </c>
      <c r="AF19" s="54">
        <f t="shared" si="8"/>
        <v>0.15594827157338542</v>
      </c>
      <c r="AG19" s="55">
        <f t="shared" si="9"/>
        <v>1.7183494362527203</v>
      </c>
    </row>
    <row r="20" spans="1:33" ht="12.75">
      <c r="A20" s="4" t="s">
        <v>47</v>
      </c>
      <c r="B20" s="4">
        <v>1.252125</v>
      </c>
      <c r="C20" s="4">
        <v>0.2425069</v>
      </c>
      <c r="D20" s="4">
        <v>5.16</v>
      </c>
      <c r="E20" s="4">
        <v>0</v>
      </c>
      <c r="F20" s="4">
        <v>0.7768198</v>
      </c>
      <c r="G20" s="4">
        <v>1.727429</v>
      </c>
      <c r="I20" s="4" t="s">
        <v>47</v>
      </c>
      <c r="J20" s="4">
        <v>1.150865</v>
      </c>
      <c r="K20" s="4">
        <v>0.2461206</v>
      </c>
      <c r="L20" s="4">
        <v>4.68</v>
      </c>
      <c r="M20" s="4">
        <v>0</v>
      </c>
      <c r="N20" s="4">
        <v>0.6684771</v>
      </c>
      <c r="O20" s="4">
        <v>1.633252</v>
      </c>
      <c r="Q20" s="4" t="s">
        <v>47</v>
      </c>
      <c r="R20" s="4">
        <v>1.202142</v>
      </c>
      <c r="S20" s="4">
        <v>0.2501059</v>
      </c>
      <c r="T20" s="4">
        <v>4.81</v>
      </c>
      <c r="U20" s="4">
        <v>0</v>
      </c>
      <c r="V20" s="4">
        <v>0.7119437</v>
      </c>
      <c r="W20" s="4">
        <v>1.692341</v>
      </c>
      <c r="X20" t="str">
        <f t="shared" si="0"/>
        <v>amput</v>
      </c>
      <c r="Y20" s="54">
        <f t="shared" si="1"/>
        <v>1.2017106666666666</v>
      </c>
      <c r="Z20">
        <f t="shared" si="2"/>
        <v>179.898555839139</v>
      </c>
      <c r="AA20">
        <f t="shared" si="3"/>
        <v>185.29999486799724</v>
      </c>
      <c r="AB20">
        <f t="shared" si="4"/>
        <v>191.3495083561038</v>
      </c>
      <c r="AC20">
        <f t="shared" si="5"/>
        <v>185.5160196877467</v>
      </c>
      <c r="AD20">
        <f t="shared" si="6"/>
        <v>0.0025635364363333288</v>
      </c>
      <c r="AE20">
        <f t="shared" si="7"/>
        <v>185.51943773632848</v>
      </c>
      <c r="AF20" s="54">
        <f t="shared" si="8"/>
        <v>0.2462662919350153</v>
      </c>
      <c r="AG20" s="55">
        <f t="shared" si="9"/>
        <v>3.32580139681963</v>
      </c>
    </row>
    <row r="21" spans="1:33" ht="12.75">
      <c r="A21" s="4" t="s">
        <v>48</v>
      </c>
      <c r="B21" s="4">
        <v>-0.4108824</v>
      </c>
      <c r="C21" s="4">
        <v>0.108238</v>
      </c>
      <c r="D21" s="4">
        <v>-3.8</v>
      </c>
      <c r="E21" s="4">
        <v>0</v>
      </c>
      <c r="F21" s="4">
        <v>-0.623025</v>
      </c>
      <c r="G21" s="4">
        <v>-0.1987399</v>
      </c>
      <c r="I21" s="4" t="s">
        <v>48</v>
      </c>
      <c r="J21" s="4">
        <v>-0.5666213</v>
      </c>
      <c r="K21" s="4">
        <v>0.0976972</v>
      </c>
      <c r="L21" s="4">
        <v>-5.8</v>
      </c>
      <c r="M21" s="4">
        <v>0</v>
      </c>
      <c r="N21" s="4">
        <v>-0.7581044</v>
      </c>
      <c r="O21" s="4">
        <v>-0.3751383</v>
      </c>
      <c r="Q21" s="4" t="s">
        <v>48</v>
      </c>
      <c r="R21" s="4">
        <v>-0.501608</v>
      </c>
      <c r="S21" s="4">
        <v>0.0921122</v>
      </c>
      <c r="T21" s="4">
        <v>-5.45</v>
      </c>
      <c r="U21" s="4">
        <v>0</v>
      </c>
      <c r="V21" s="4">
        <v>-0.6821447</v>
      </c>
      <c r="W21" s="4">
        <v>-0.3210713</v>
      </c>
      <c r="X21" t="str">
        <f t="shared" si="0"/>
        <v>cat</v>
      </c>
      <c r="Y21" s="54">
        <f t="shared" si="1"/>
        <v>-0.4930372333333333</v>
      </c>
      <c r="Z21">
        <f t="shared" si="2"/>
        <v>35.837606345996</v>
      </c>
      <c r="AA21">
        <f t="shared" si="3"/>
        <v>29.197368493902562</v>
      </c>
      <c r="AB21">
        <f t="shared" si="4"/>
        <v>25.954566952461565</v>
      </c>
      <c r="AC21">
        <f t="shared" si="5"/>
        <v>30.329847264120044</v>
      </c>
      <c r="AD21">
        <f t="shared" si="6"/>
        <v>0.006118744774243335</v>
      </c>
      <c r="AE21">
        <f t="shared" si="7"/>
        <v>30.3380055904857</v>
      </c>
      <c r="AF21" s="54">
        <f t="shared" si="8"/>
        <v>0.09958725804465711</v>
      </c>
      <c r="AG21" s="55">
        <f t="shared" si="9"/>
        <v>0.6107685276943372</v>
      </c>
    </row>
    <row r="22" spans="1:33" ht="12.75">
      <c r="A22" s="4" t="s">
        <v>49</v>
      </c>
      <c r="B22" s="4">
        <v>0.3533336</v>
      </c>
      <c r="C22" s="4">
        <v>0.0749178</v>
      </c>
      <c r="D22" s="4">
        <v>4.72</v>
      </c>
      <c r="E22" s="4">
        <v>0</v>
      </c>
      <c r="F22" s="4">
        <v>0.2064974</v>
      </c>
      <c r="G22" s="4">
        <v>0.5001697</v>
      </c>
      <c r="I22" s="4" t="s">
        <v>49</v>
      </c>
      <c r="J22" s="4">
        <v>0.3227133</v>
      </c>
      <c r="K22" s="4">
        <v>0.0701448</v>
      </c>
      <c r="L22" s="4">
        <v>4.6</v>
      </c>
      <c r="M22" s="4">
        <v>0</v>
      </c>
      <c r="N22" s="4">
        <v>0.1852319</v>
      </c>
      <c r="O22" s="4">
        <v>0.4601946</v>
      </c>
      <c r="Q22" s="4" t="s">
        <v>49</v>
      </c>
      <c r="R22" s="4">
        <v>0.3688035</v>
      </c>
      <c r="S22" s="4">
        <v>0.0681361</v>
      </c>
      <c r="T22" s="4">
        <v>5.41</v>
      </c>
      <c r="U22" s="4">
        <v>0</v>
      </c>
      <c r="V22" s="4">
        <v>0.2352593</v>
      </c>
      <c r="W22" s="4">
        <v>0.5023478</v>
      </c>
      <c r="X22" t="str">
        <f t="shared" si="0"/>
        <v>nfmilt</v>
      </c>
      <c r="Y22" s="54">
        <f t="shared" si="1"/>
        <v>0.3482834666666667</v>
      </c>
      <c r="Z22">
        <f t="shared" si="2"/>
        <v>17.169178199173565</v>
      </c>
      <c r="AA22">
        <f t="shared" si="3"/>
        <v>15.05117618617536</v>
      </c>
      <c r="AB22">
        <f t="shared" si="4"/>
        <v>14.201493528899395</v>
      </c>
      <c r="AC22">
        <f t="shared" si="5"/>
        <v>15.47394930474944</v>
      </c>
      <c r="AD22">
        <f t="shared" si="6"/>
        <v>0.0005502045190233341</v>
      </c>
      <c r="AE22">
        <f t="shared" si="7"/>
        <v>15.474682910774805</v>
      </c>
      <c r="AF22" s="54">
        <f t="shared" si="8"/>
        <v>0.07112481354117345</v>
      </c>
      <c r="AG22" s="55">
        <f t="shared" si="9"/>
        <v>1.4166337612799635</v>
      </c>
    </row>
    <row r="23" spans="1:33" ht="12.75">
      <c r="A23" s="4" t="s">
        <v>50</v>
      </c>
      <c r="B23" s="4">
        <v>0.1823183</v>
      </c>
      <c r="C23" s="4">
        <v>0.1362282</v>
      </c>
      <c r="D23" s="4">
        <v>1.34</v>
      </c>
      <c r="E23" s="4">
        <v>0.181</v>
      </c>
      <c r="F23" s="4">
        <v>-0.084684</v>
      </c>
      <c r="G23" s="4">
        <v>0.4493206</v>
      </c>
      <c r="I23" s="4" t="s">
        <v>50</v>
      </c>
      <c r="J23" s="4">
        <v>0.1164514</v>
      </c>
      <c r="K23" s="4">
        <v>0.1373172</v>
      </c>
      <c r="L23" s="4">
        <v>0.85</v>
      </c>
      <c r="M23" s="4">
        <v>0.396</v>
      </c>
      <c r="N23" s="4">
        <v>-0.1526854</v>
      </c>
      <c r="O23" s="4">
        <v>0.3855882</v>
      </c>
      <c r="Q23" s="4" t="s">
        <v>50</v>
      </c>
      <c r="R23" s="4">
        <v>0.1662077</v>
      </c>
      <c r="S23" s="4">
        <v>0.1323046</v>
      </c>
      <c r="T23" s="4">
        <v>1.26</v>
      </c>
      <c r="U23" s="4">
        <v>0.209</v>
      </c>
      <c r="V23" s="4">
        <v>-0.0931046</v>
      </c>
      <c r="W23" s="4">
        <v>0.4255201</v>
      </c>
      <c r="X23" t="str">
        <f t="shared" si="0"/>
        <v>nfstrlt</v>
      </c>
      <c r="Y23" s="54">
        <f t="shared" si="1"/>
        <v>0.15499246666666666</v>
      </c>
      <c r="Z23">
        <f t="shared" si="2"/>
        <v>56.769296651759156</v>
      </c>
      <c r="AA23">
        <f t="shared" si="3"/>
        <v>57.680545039054564</v>
      </c>
      <c r="AB23">
        <f t="shared" si="4"/>
        <v>53.54628746716843</v>
      </c>
      <c r="AC23">
        <f t="shared" si="5"/>
        <v>55.99870971932739</v>
      </c>
      <c r="AD23">
        <f t="shared" si="6"/>
        <v>0.0011789482229433333</v>
      </c>
      <c r="AE23">
        <f t="shared" si="7"/>
        <v>56.00028165029131</v>
      </c>
      <c r="AF23" s="54">
        <f t="shared" si="8"/>
        <v>0.1353023585466062</v>
      </c>
      <c r="AG23" s="55">
        <f t="shared" si="9"/>
        <v>1.1676491647816176</v>
      </c>
    </row>
    <row r="24" spans="1:33" ht="12.75">
      <c r="A24" s="4" t="s">
        <v>51</v>
      </c>
      <c r="B24" s="4">
        <v>0.3885521</v>
      </c>
      <c r="C24" s="4">
        <v>0.0766059</v>
      </c>
      <c r="D24" s="4">
        <v>5.07</v>
      </c>
      <c r="E24" s="4">
        <v>0</v>
      </c>
      <c r="F24" s="4">
        <v>0.2384072</v>
      </c>
      <c r="G24" s="4">
        <v>0.538697</v>
      </c>
      <c r="I24" s="4" t="s">
        <v>51</v>
      </c>
      <c r="J24" s="4">
        <v>0.4128906</v>
      </c>
      <c r="K24" s="4">
        <v>0.075889</v>
      </c>
      <c r="L24" s="4">
        <v>5.44</v>
      </c>
      <c r="M24" s="4">
        <v>0</v>
      </c>
      <c r="N24" s="4">
        <v>0.2641509</v>
      </c>
      <c r="O24" s="4">
        <v>0.5616304</v>
      </c>
      <c r="Q24" s="4" t="s">
        <v>51</v>
      </c>
      <c r="R24" s="4">
        <v>0.4143311</v>
      </c>
      <c r="S24" s="4">
        <v>0.073254</v>
      </c>
      <c r="T24" s="4">
        <v>5.66</v>
      </c>
      <c r="U24" s="4">
        <v>0</v>
      </c>
      <c r="V24" s="4">
        <v>0.2707559</v>
      </c>
      <c r="W24" s="4">
        <v>0.5579064</v>
      </c>
      <c r="X24" t="str">
        <f t="shared" si="0"/>
        <v>ihdlt</v>
      </c>
      <c r="Y24" s="54">
        <f t="shared" si="1"/>
        <v>0.4052579333333333</v>
      </c>
      <c r="Z24">
        <f t="shared" si="2"/>
        <v>17.95163111540379</v>
      </c>
      <c r="AA24">
        <f t="shared" si="3"/>
        <v>17.617210241939</v>
      </c>
      <c r="AB24">
        <f t="shared" si="4"/>
        <v>16.415048310444003</v>
      </c>
      <c r="AC24">
        <f t="shared" si="5"/>
        <v>17.3279632225956</v>
      </c>
      <c r="AD24">
        <f t="shared" si="6"/>
        <v>0.00020983241058333317</v>
      </c>
      <c r="AE24">
        <f t="shared" si="7"/>
        <v>17.328242999143043</v>
      </c>
      <c r="AF24" s="54">
        <f t="shared" si="8"/>
        <v>0.07526403995758219</v>
      </c>
      <c r="AG24" s="55">
        <f t="shared" si="9"/>
        <v>1.499689270026571</v>
      </c>
    </row>
    <row r="25" spans="1:33" ht="12.75">
      <c r="A25" s="4" t="s">
        <v>52</v>
      </c>
      <c r="B25" s="4">
        <v>0.436035</v>
      </c>
      <c r="C25" s="4">
        <v>0.1306822</v>
      </c>
      <c r="D25" s="4">
        <v>3.34</v>
      </c>
      <c r="E25" s="4">
        <v>0.001</v>
      </c>
      <c r="F25" s="4">
        <v>0.1799025</v>
      </c>
      <c r="G25" s="4">
        <v>0.6921675</v>
      </c>
      <c r="I25" s="4" t="s">
        <v>52</v>
      </c>
      <c r="J25" s="4">
        <v>0.5319735</v>
      </c>
      <c r="K25" s="4">
        <v>0.143423</v>
      </c>
      <c r="L25" s="4">
        <v>3.71</v>
      </c>
      <c r="M25" s="4">
        <v>0</v>
      </c>
      <c r="N25" s="4">
        <v>0.2508696</v>
      </c>
      <c r="O25" s="4">
        <v>0.8130774</v>
      </c>
      <c r="Q25" s="4" t="s">
        <v>52</v>
      </c>
      <c r="R25" s="4">
        <v>0.4619765</v>
      </c>
      <c r="S25" s="4">
        <v>0.1286213</v>
      </c>
      <c r="T25" s="4">
        <v>3.59</v>
      </c>
      <c r="U25" s="4">
        <v>0</v>
      </c>
      <c r="V25" s="4">
        <v>0.2098834</v>
      </c>
      <c r="W25" s="4">
        <v>0.7140697</v>
      </c>
      <c r="X25" t="str">
        <f t="shared" si="0"/>
        <v>hflt</v>
      </c>
      <c r="Y25" s="54">
        <f t="shared" si="1"/>
        <v>0.4766616666666667</v>
      </c>
      <c r="Z25">
        <f t="shared" si="2"/>
        <v>52.24110459693356</v>
      </c>
      <c r="AA25">
        <f t="shared" si="3"/>
        <v>62.924110045811005</v>
      </c>
      <c r="AB25">
        <f t="shared" si="4"/>
        <v>50.60637933107771</v>
      </c>
      <c r="AC25">
        <f t="shared" si="5"/>
        <v>55.25719799127409</v>
      </c>
      <c r="AD25">
        <f t="shared" si="6"/>
        <v>0.002462789535583332</v>
      </c>
      <c r="AE25">
        <f t="shared" si="7"/>
        <v>55.260481710654865</v>
      </c>
      <c r="AF25" s="54">
        <f t="shared" si="8"/>
        <v>0.13440567141390736</v>
      </c>
      <c r="AG25" s="55">
        <f t="shared" si="9"/>
        <v>1.610688402280435</v>
      </c>
    </row>
    <row r="26" spans="1:33" ht="12.75">
      <c r="A26" s="4" t="s">
        <v>53</v>
      </c>
      <c r="B26" s="4">
        <v>0.1009745</v>
      </c>
      <c r="C26" s="4">
        <v>0.1143562</v>
      </c>
      <c r="D26" s="4">
        <v>0.88</v>
      </c>
      <c r="E26" s="4">
        <v>0.377</v>
      </c>
      <c r="F26" s="4">
        <v>-0.1231596</v>
      </c>
      <c r="G26" s="4">
        <v>0.3251086</v>
      </c>
      <c r="I26" s="4" t="s">
        <v>53</v>
      </c>
      <c r="J26" s="4">
        <v>0.21827</v>
      </c>
      <c r="K26" s="4">
        <v>0.1180662</v>
      </c>
      <c r="L26" s="4">
        <v>1.85</v>
      </c>
      <c r="M26" s="4">
        <v>0.064</v>
      </c>
      <c r="N26" s="4">
        <v>-0.0131355</v>
      </c>
      <c r="O26" s="4">
        <v>0.4496754</v>
      </c>
      <c r="Q26" s="4" t="s">
        <v>53</v>
      </c>
      <c r="R26" s="4">
        <v>0.1206502</v>
      </c>
      <c r="S26" s="4">
        <v>0.1134372</v>
      </c>
      <c r="T26" s="4">
        <v>1.06</v>
      </c>
      <c r="U26" s="4">
        <v>0.288</v>
      </c>
      <c r="V26" s="4">
        <v>-0.1016826</v>
      </c>
      <c r="W26" s="4">
        <v>0.342983</v>
      </c>
      <c r="X26" t="str">
        <f t="shared" si="0"/>
        <v>blindlt</v>
      </c>
      <c r="Y26" s="54">
        <f t="shared" si="1"/>
        <v>0.14663156666666666</v>
      </c>
      <c r="Z26">
        <f t="shared" si="2"/>
        <v>40.003584523547964</v>
      </c>
      <c r="AA26">
        <f t="shared" si="3"/>
        <v>42.64132077468396</v>
      </c>
      <c r="AB26">
        <f t="shared" si="4"/>
        <v>39.363206933806566</v>
      </c>
      <c r="AC26">
        <f t="shared" si="5"/>
        <v>40.66937074401283</v>
      </c>
      <c r="AD26">
        <f t="shared" si="6"/>
        <v>0.0039458321404633335</v>
      </c>
      <c r="AE26">
        <f t="shared" si="7"/>
        <v>40.67463185353345</v>
      </c>
      <c r="AF26" s="54">
        <f t="shared" si="8"/>
        <v>0.11531135538385655</v>
      </c>
      <c r="AG26" s="55">
        <f t="shared" si="9"/>
        <v>1.157927265427713</v>
      </c>
    </row>
    <row r="27" spans="1:33" ht="12.75">
      <c r="A27" s="4" t="s">
        <v>54</v>
      </c>
      <c r="B27" s="4">
        <v>0.3982658</v>
      </c>
      <c r="C27" s="4">
        <v>0.1963397</v>
      </c>
      <c r="D27" s="4">
        <v>2.03</v>
      </c>
      <c r="E27" s="4">
        <v>0.043</v>
      </c>
      <c r="F27" s="4">
        <v>0.0134471</v>
      </c>
      <c r="G27" s="4">
        <v>0.7830845</v>
      </c>
      <c r="I27" s="4" t="s">
        <v>54</v>
      </c>
      <c r="J27" s="4">
        <v>0.3386641</v>
      </c>
      <c r="K27" s="4">
        <v>0.2094327</v>
      </c>
      <c r="L27" s="4">
        <v>1.62</v>
      </c>
      <c r="M27" s="4">
        <v>0.106</v>
      </c>
      <c r="N27" s="4">
        <v>-0.0718165</v>
      </c>
      <c r="O27" s="4">
        <v>0.7491447</v>
      </c>
      <c r="Q27" s="4" t="s">
        <v>54</v>
      </c>
      <c r="R27" s="4">
        <v>0.3373955</v>
      </c>
      <c r="S27" s="4">
        <v>0.2027381</v>
      </c>
      <c r="T27" s="4">
        <v>1.66</v>
      </c>
      <c r="U27" s="4">
        <v>0.096</v>
      </c>
      <c r="V27" s="4">
        <v>-0.0599639</v>
      </c>
      <c r="W27" s="4">
        <v>0.7347548</v>
      </c>
      <c r="X27" t="str">
        <f t="shared" si="0"/>
        <v>amputlt</v>
      </c>
      <c r="Y27" s="54">
        <f t="shared" si="1"/>
        <v>0.35810846666666674</v>
      </c>
      <c r="Z27">
        <f t="shared" si="2"/>
        <v>117.92224077823933</v>
      </c>
      <c r="AA27">
        <f t="shared" si="3"/>
        <v>134.17402878179814</v>
      </c>
      <c r="AB27">
        <f t="shared" si="4"/>
        <v>125.733273069135</v>
      </c>
      <c r="AC27">
        <f t="shared" si="5"/>
        <v>125.94318087639083</v>
      </c>
      <c r="AD27">
        <f t="shared" si="6"/>
        <v>0.0012098609018233327</v>
      </c>
      <c r="AE27">
        <f t="shared" si="7"/>
        <v>125.94479402425992</v>
      </c>
      <c r="AF27" s="54">
        <f t="shared" si="8"/>
        <v>0.2029085613862506</v>
      </c>
      <c r="AG27" s="55">
        <f t="shared" si="9"/>
        <v>1.4306207867325638</v>
      </c>
    </row>
    <row r="28" spans="1:33" ht="12.75">
      <c r="A28" s="4" t="s">
        <v>55</v>
      </c>
      <c r="B28" s="4">
        <v>-0.253038</v>
      </c>
      <c r="C28" s="4">
        <v>0.1279314</v>
      </c>
      <c r="D28" s="4">
        <v>-1.98</v>
      </c>
      <c r="E28" s="4">
        <v>0.048</v>
      </c>
      <c r="F28" s="4">
        <v>-0.5037789</v>
      </c>
      <c r="G28" s="4">
        <v>-0.0022971</v>
      </c>
      <c r="I28" s="4" t="s">
        <v>55</v>
      </c>
      <c r="J28" s="4">
        <v>-0.3811752</v>
      </c>
      <c r="K28" s="4">
        <v>0.1157612</v>
      </c>
      <c r="L28" s="4">
        <v>-3.29</v>
      </c>
      <c r="M28" s="4">
        <v>0.001</v>
      </c>
      <c r="N28" s="4">
        <v>-0.6080629</v>
      </c>
      <c r="O28" s="4">
        <v>-0.1542875</v>
      </c>
      <c r="Q28" s="4" t="s">
        <v>55</v>
      </c>
      <c r="R28" s="4">
        <v>-0.3134852</v>
      </c>
      <c r="S28" s="4">
        <v>0.1178056</v>
      </c>
      <c r="T28" s="4">
        <v>-2.66</v>
      </c>
      <c r="U28" s="4">
        <v>0.008</v>
      </c>
      <c r="V28" s="4">
        <v>-0.5443799</v>
      </c>
      <c r="W28" s="4">
        <v>-0.0825905</v>
      </c>
      <c r="X28" t="str">
        <f t="shared" si="0"/>
        <v>catlt</v>
      </c>
      <c r="Y28" s="54">
        <f t="shared" si="1"/>
        <v>-0.3158994666666667</v>
      </c>
      <c r="Z28">
        <f>(C28*SQRT(3059))^2</f>
        <v>50.06494946113165</v>
      </c>
      <c r="AA28">
        <f>(K28*SQRT(3059))^2</f>
        <v>40.99260494642096</v>
      </c>
      <c r="AB28">
        <f>(S28*SQRT(3059))^2</f>
        <v>42.45328957817024</v>
      </c>
      <c r="AC28">
        <f>(Z28+AA28+AB28)/3</f>
        <v>44.50361466190761</v>
      </c>
      <c r="AD28">
        <f>1/(3-1)*((B28-Y28)^2+(J28-Y28)^2+(R28-Y28)^2)</f>
        <v>0.0041091570186133335</v>
      </c>
      <c r="AE28">
        <f>AC28+(1+1/3)*AD28</f>
        <v>44.50909353793243</v>
      </c>
      <c r="AF28" s="54">
        <f t="shared" si="8"/>
        <v>0.1206242528485211</v>
      </c>
      <c r="AG28" s="55">
        <f>EXP(Y28)</f>
        <v>0.7291327486287549</v>
      </c>
    </row>
    <row r="29" spans="1:33" ht="12.75">
      <c r="A29" t="s">
        <v>23</v>
      </c>
      <c r="B29">
        <v>7.918727</v>
      </c>
      <c r="C29">
        <v>0.0434092</v>
      </c>
      <c r="D29">
        <v>182.42</v>
      </c>
      <c r="E29">
        <v>0</v>
      </c>
      <c r="F29">
        <v>7.833646</v>
      </c>
      <c r="G29">
        <v>8.003807</v>
      </c>
      <c r="I29" t="s">
        <v>23</v>
      </c>
      <c r="J29">
        <v>7.885083</v>
      </c>
      <c r="K29">
        <v>0.0442394</v>
      </c>
      <c r="L29">
        <v>178.24</v>
      </c>
      <c r="M29">
        <v>0</v>
      </c>
      <c r="N29">
        <v>7.798375</v>
      </c>
      <c r="O29">
        <v>7.971791</v>
      </c>
      <c r="Q29" t="s">
        <v>23</v>
      </c>
      <c r="R29">
        <v>7.902117</v>
      </c>
      <c r="S29">
        <v>0.0418501</v>
      </c>
      <c r="T29">
        <v>188.82</v>
      </c>
      <c r="U29">
        <v>0</v>
      </c>
      <c r="V29">
        <v>7.820092</v>
      </c>
      <c r="W29">
        <v>7.984142</v>
      </c>
      <c r="X29" t="str">
        <f t="shared" si="0"/>
        <v>_cons</v>
      </c>
      <c r="Y29" s="54">
        <f t="shared" si="1"/>
        <v>7.901975666666666</v>
      </c>
      <c r="Z29">
        <f>(C29*SQRT(3059))^2</f>
        <v>5.764253093953761</v>
      </c>
      <c r="AA29">
        <f>(K29*SQRT(3059))^2</f>
        <v>5.98684388330924</v>
      </c>
      <c r="AB29">
        <f>(S29*SQRT(3059))^2</f>
        <v>5.357627031360591</v>
      </c>
      <c r="AC29">
        <f>(Z29+AA29+AB29)/3</f>
        <v>5.702908002874531</v>
      </c>
      <c r="AD29">
        <f>1/(3-1)*((B29-Y29)^2+(J29-Y29)^2+(R29-Y29)^2)</f>
        <v>0.0002829946653333297</v>
      </c>
      <c r="AE29">
        <f>AC29+(1+1/3)*AD29</f>
        <v>5.703285329094975</v>
      </c>
      <c r="AF29" s="54">
        <f t="shared" si="8"/>
        <v>0.04317902297647171</v>
      </c>
      <c r="AG29" s="55">
        <f>EXP(Y29)</f>
        <v>2702.6165266189305</v>
      </c>
    </row>
    <row r="30" spans="31:32" ht="12.75">
      <c r="AE30" s="52"/>
      <c r="AF30" s="4"/>
    </row>
    <row r="31" spans="31:32" ht="12.75">
      <c r="AE31" s="52"/>
      <c r="AF31" s="4"/>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F25"/>
  <sheetViews>
    <sheetView workbookViewId="0" topLeftCell="A1">
      <selection activeCell="H26" sqref="H26"/>
    </sheetView>
  </sheetViews>
  <sheetFormatPr defaultColWidth="9.140625" defaultRowHeight="12.75"/>
  <sheetData>
    <row r="1" ht="26.25">
      <c r="A1" s="53" t="s">
        <v>127</v>
      </c>
    </row>
    <row r="2" spans="1:26" ht="12.75">
      <c r="A2" s="11" t="s">
        <v>84</v>
      </c>
      <c r="Z2" s="8" t="s">
        <v>105</v>
      </c>
    </row>
    <row r="3" spans="1:26" ht="12.75">
      <c r="A3" s="11"/>
      <c r="Z3" s="8"/>
    </row>
    <row r="4" spans="1:32" ht="12.75">
      <c r="A4" t="s">
        <v>36</v>
      </c>
      <c r="B4" t="s">
        <v>24</v>
      </c>
      <c r="C4" t="s">
        <v>35</v>
      </c>
      <c r="D4" t="s">
        <v>106</v>
      </c>
      <c r="F4" t="s">
        <v>89</v>
      </c>
      <c r="G4" t="s">
        <v>26</v>
      </c>
      <c r="I4" t="s">
        <v>37</v>
      </c>
      <c r="J4" t="s">
        <v>24</v>
      </c>
      <c r="K4" t="s">
        <v>35</v>
      </c>
      <c r="L4" t="s">
        <v>106</v>
      </c>
      <c r="N4" t="s">
        <v>89</v>
      </c>
      <c r="O4" t="s">
        <v>26</v>
      </c>
      <c r="Q4" t="s">
        <v>107</v>
      </c>
      <c r="R4" t="s">
        <v>24</v>
      </c>
      <c r="S4" t="s">
        <v>35</v>
      </c>
      <c r="T4" t="s">
        <v>106</v>
      </c>
      <c r="V4" t="s">
        <v>89</v>
      </c>
      <c r="W4" t="s">
        <v>26</v>
      </c>
      <c r="Y4" s="8" t="s">
        <v>5</v>
      </c>
      <c r="Z4" s="8" t="s">
        <v>90</v>
      </c>
      <c r="AA4" s="8" t="s">
        <v>91</v>
      </c>
      <c r="AB4" s="8" t="s">
        <v>92</v>
      </c>
      <c r="AC4" s="8" t="s">
        <v>93</v>
      </c>
      <c r="AD4" s="8" t="s">
        <v>94</v>
      </c>
      <c r="AE4" s="8" t="s">
        <v>95</v>
      </c>
      <c r="AF4" s="8" t="s">
        <v>38</v>
      </c>
    </row>
    <row r="6" spans="1:32" ht="12.75">
      <c r="A6" t="s">
        <v>21</v>
      </c>
      <c r="B6">
        <v>40.13677</v>
      </c>
      <c r="C6">
        <v>8.519384</v>
      </c>
      <c r="D6" t="s">
        <v>108</v>
      </c>
      <c r="F6">
        <v>23.43908</v>
      </c>
      <c r="G6">
        <v>56.83445</v>
      </c>
      <c r="I6" t="s">
        <v>21</v>
      </c>
      <c r="J6">
        <v>38.78594</v>
      </c>
      <c r="K6">
        <v>8.509619</v>
      </c>
      <c r="L6">
        <v>4.56</v>
      </c>
      <c r="M6">
        <v>0</v>
      </c>
      <c r="N6">
        <v>22.1074</v>
      </c>
      <c r="O6">
        <v>55.46449</v>
      </c>
      <c r="Q6" t="s">
        <v>21</v>
      </c>
      <c r="R6">
        <v>38.94653</v>
      </c>
      <c r="S6">
        <v>8.164333</v>
      </c>
      <c r="T6">
        <v>4.77</v>
      </c>
      <c r="U6">
        <v>0</v>
      </c>
      <c r="V6">
        <v>22.94473</v>
      </c>
      <c r="W6">
        <v>54.94833</v>
      </c>
      <c r="Y6" s="56">
        <f>(R6+J6+B6)/3</f>
        <v>39.289746666666666</v>
      </c>
      <c r="Z6">
        <f>(C6*SQRT(3059))^2</f>
        <v>222021.9255389959</v>
      </c>
      <c r="AA6">
        <f>(K6*SQRT(3059))^2</f>
        <v>221513.24989146757</v>
      </c>
      <c r="AB6">
        <f>(S6*SQRT(3059))^2</f>
        <v>203901.72367142545</v>
      </c>
      <c r="AC6">
        <f>(Z6+AA6+AB6)/3</f>
        <v>215812.29970062966</v>
      </c>
      <c r="AD6">
        <f>1/(3-1)*((B6-Y6)^2+(J6-Y6)^2+(R6-Y6)^2)</f>
        <v>0.5445336824333329</v>
      </c>
      <c r="AE6">
        <f>AC6+(1+1/3)*AD6</f>
        <v>215813.02574553958</v>
      </c>
      <c r="AF6" s="55">
        <f>SQRT(AE6)/SQRT(3059)</f>
        <v>8.399415944793116</v>
      </c>
    </row>
    <row r="7" spans="1:32" ht="12.75">
      <c r="A7" t="s">
        <v>22</v>
      </c>
      <c r="B7">
        <v>-429.0087</v>
      </c>
      <c r="C7">
        <v>156.2856</v>
      </c>
      <c r="D7" t="s">
        <v>109</v>
      </c>
      <c r="F7">
        <v>-735.3228</v>
      </c>
      <c r="G7">
        <v>-122.6945</v>
      </c>
      <c r="I7" t="s">
        <v>22</v>
      </c>
      <c r="J7">
        <v>-282.0026</v>
      </c>
      <c r="K7">
        <v>156.1065</v>
      </c>
      <c r="L7">
        <v>-1.81</v>
      </c>
      <c r="M7">
        <v>0.071</v>
      </c>
      <c r="N7">
        <v>-587.9656</v>
      </c>
      <c r="O7">
        <v>23.96043</v>
      </c>
      <c r="Q7" t="s">
        <v>22</v>
      </c>
      <c r="R7">
        <v>-355.7798</v>
      </c>
      <c r="S7">
        <v>149.7723</v>
      </c>
      <c r="T7">
        <v>-2.38</v>
      </c>
      <c r="U7">
        <v>0.018</v>
      </c>
      <c r="V7">
        <v>-649.3281</v>
      </c>
      <c r="W7">
        <v>-62.23154</v>
      </c>
      <c r="Y7" s="56">
        <f aca="true" t="shared" si="0" ref="Y7:Y24">(R7+J7+B7)/3</f>
        <v>-355.5970333333333</v>
      </c>
      <c r="Z7">
        <f aca="true" t="shared" si="1" ref="Z7:Z24">(C7*SQRT(3059))^2</f>
        <v>74716652.43935423</v>
      </c>
      <c r="AA7">
        <f aca="true" t="shared" si="2" ref="AA7:AA24">(K7*SQRT(3059))^2</f>
        <v>74545503.14794278</v>
      </c>
      <c r="AB7">
        <f aca="true" t="shared" si="3" ref="AB7:AB24">(S7*SQRT(3059))^2</f>
        <v>68618698.31086013</v>
      </c>
      <c r="AC7">
        <f aca="true" t="shared" si="4" ref="AC7:AC24">(Z7+AA7+AB7)/3</f>
        <v>72626951.29938571</v>
      </c>
      <c r="AD7">
        <f aca="true" t="shared" si="5" ref="AD7:AD24">1/(3-1)*((B7-Y7)^2+(J7-Y7)^2+(R7-Y7)^2)</f>
        <v>5402.723412043333</v>
      </c>
      <c r="AE7">
        <f aca="true" t="shared" si="6" ref="AE7:AE24">AC7+(1+1/3)*AD7</f>
        <v>72634154.93060178</v>
      </c>
      <c r="AF7" s="55">
        <f aca="true" t="shared" si="7" ref="AF7:AF24">SQRT(AE7)/SQRT(3059)</f>
        <v>154.09221768059123</v>
      </c>
    </row>
    <row r="8" spans="1:32" ht="12.75">
      <c r="A8" t="s">
        <v>40</v>
      </c>
      <c r="B8">
        <v>-1380.006</v>
      </c>
      <c r="C8">
        <v>330.0219</v>
      </c>
      <c r="D8" t="s">
        <v>110</v>
      </c>
      <c r="F8">
        <v>-2026.837</v>
      </c>
      <c r="G8">
        <v>-733.1752</v>
      </c>
      <c r="I8" t="s">
        <v>40</v>
      </c>
      <c r="J8">
        <v>-1419.818</v>
      </c>
      <c r="K8">
        <v>329.6437</v>
      </c>
      <c r="L8">
        <v>-4.31</v>
      </c>
      <c r="M8">
        <v>0</v>
      </c>
      <c r="N8">
        <v>-2065.908</v>
      </c>
      <c r="O8">
        <v>-773.7286</v>
      </c>
      <c r="Q8" t="s">
        <v>40</v>
      </c>
      <c r="R8">
        <v>-1430.706</v>
      </c>
      <c r="S8">
        <v>316.268</v>
      </c>
      <c r="T8">
        <v>-4.52</v>
      </c>
      <c r="U8">
        <v>0</v>
      </c>
      <c r="V8">
        <v>-2050.58</v>
      </c>
      <c r="W8">
        <v>-810.8319</v>
      </c>
      <c r="Y8" s="56">
        <f t="shared" si="0"/>
        <v>-1410.1766666666665</v>
      </c>
      <c r="Z8">
        <f t="shared" si="1"/>
        <v>333169316.253127</v>
      </c>
      <c r="AA8">
        <f t="shared" si="2"/>
        <v>332406140.0171017</v>
      </c>
      <c r="AB8">
        <f t="shared" si="3"/>
        <v>305977844.893616</v>
      </c>
      <c r="AC8">
        <f t="shared" si="4"/>
        <v>323851100.3879482</v>
      </c>
      <c r="AD8">
        <f t="shared" si="5"/>
        <v>712.3389813333287</v>
      </c>
      <c r="AE8">
        <f t="shared" si="6"/>
        <v>323852050.17325664</v>
      </c>
      <c r="AF8" s="55">
        <f t="shared" si="7"/>
        <v>325.37455479276383</v>
      </c>
    </row>
    <row r="9" spans="1:32" ht="12.75">
      <c r="A9" t="s">
        <v>41</v>
      </c>
      <c r="B9">
        <v>2886.649</v>
      </c>
      <c r="C9">
        <v>346.4116</v>
      </c>
      <c r="D9" t="s">
        <v>111</v>
      </c>
      <c r="F9">
        <v>2207.694</v>
      </c>
      <c r="G9">
        <v>3565.603</v>
      </c>
      <c r="I9" t="s">
        <v>41</v>
      </c>
      <c r="J9">
        <v>2812.244</v>
      </c>
      <c r="K9">
        <v>346.0145</v>
      </c>
      <c r="L9">
        <v>8.13</v>
      </c>
      <c r="M9">
        <v>0</v>
      </c>
      <c r="N9">
        <v>2134.068</v>
      </c>
      <c r="O9">
        <v>3490.42</v>
      </c>
      <c r="Q9" t="s">
        <v>41</v>
      </c>
      <c r="R9">
        <v>2915.338</v>
      </c>
      <c r="S9">
        <v>331.9747</v>
      </c>
      <c r="T9">
        <v>8.78</v>
      </c>
      <c r="U9">
        <v>0</v>
      </c>
      <c r="V9">
        <v>2264.68</v>
      </c>
      <c r="W9">
        <v>3565.997</v>
      </c>
      <c r="Y9" s="56">
        <f t="shared" si="0"/>
        <v>2871.4103333333333</v>
      </c>
      <c r="Z9">
        <f t="shared" si="1"/>
        <v>367083048.64393914</v>
      </c>
      <c r="AA9">
        <f t="shared" si="2"/>
        <v>366241938.6491548</v>
      </c>
      <c r="AB9">
        <f t="shared" si="3"/>
        <v>337123829.20523524</v>
      </c>
      <c r="AC9">
        <f t="shared" si="4"/>
        <v>356816272.16610974</v>
      </c>
      <c r="AD9">
        <f t="shared" si="5"/>
        <v>2831.255930333332</v>
      </c>
      <c r="AE9">
        <f t="shared" si="6"/>
        <v>356820047.17401683</v>
      </c>
      <c r="AF9" s="55">
        <f t="shared" si="7"/>
        <v>341.5347393081768</v>
      </c>
    </row>
    <row r="10" spans="1:32" ht="12.75">
      <c r="A10" t="s">
        <v>42</v>
      </c>
      <c r="B10">
        <v>2772.5</v>
      </c>
      <c r="C10">
        <v>768.2927</v>
      </c>
      <c r="D10" t="s">
        <v>112</v>
      </c>
      <c r="F10">
        <v>1266.674</v>
      </c>
      <c r="G10">
        <v>4278.326</v>
      </c>
      <c r="I10" t="s">
        <v>42</v>
      </c>
      <c r="J10">
        <v>2865.867</v>
      </c>
      <c r="K10">
        <v>767.4121</v>
      </c>
      <c r="L10">
        <v>3.73</v>
      </c>
      <c r="M10">
        <v>0</v>
      </c>
      <c r="N10">
        <v>1361.767</v>
      </c>
      <c r="O10">
        <v>4369.967</v>
      </c>
      <c r="Q10" t="s">
        <v>42</v>
      </c>
      <c r="R10">
        <v>2926.451</v>
      </c>
      <c r="S10">
        <v>736.2736</v>
      </c>
      <c r="T10">
        <v>3.97</v>
      </c>
      <c r="U10">
        <v>0</v>
      </c>
      <c r="V10">
        <v>1483.382</v>
      </c>
      <c r="W10">
        <v>4369.521</v>
      </c>
      <c r="Y10" s="56">
        <f t="shared" si="0"/>
        <v>2854.9393333333333</v>
      </c>
      <c r="Z10">
        <f t="shared" si="1"/>
        <v>1805647165.319394</v>
      </c>
      <c r="AA10">
        <f t="shared" si="2"/>
        <v>1801510352.2215884</v>
      </c>
      <c r="AB10">
        <f t="shared" si="3"/>
        <v>1658280272.2002404</v>
      </c>
      <c r="AC10">
        <f t="shared" si="4"/>
        <v>1755145929.9137409</v>
      </c>
      <c r="AD10">
        <f t="shared" si="5"/>
        <v>6014.788024333337</v>
      </c>
      <c r="AE10">
        <f t="shared" si="6"/>
        <v>1755153949.6311066</v>
      </c>
      <c r="AF10" s="55">
        <f t="shared" si="7"/>
        <v>757.4742422892322</v>
      </c>
    </row>
    <row r="11" spans="1:32" ht="12.75">
      <c r="A11" t="s">
        <v>43</v>
      </c>
      <c r="B11">
        <v>5763.799</v>
      </c>
      <c r="C11">
        <v>605.2425</v>
      </c>
      <c r="D11" t="s">
        <v>113</v>
      </c>
      <c r="F11">
        <v>4577.546</v>
      </c>
      <c r="G11">
        <v>6950.053</v>
      </c>
      <c r="I11" t="s">
        <v>43</v>
      </c>
      <c r="J11">
        <v>5523.475</v>
      </c>
      <c r="K11">
        <v>604.5488</v>
      </c>
      <c r="L11">
        <v>9.14</v>
      </c>
      <c r="M11">
        <v>0</v>
      </c>
      <c r="N11">
        <v>4338.581</v>
      </c>
      <c r="O11">
        <v>6708.368</v>
      </c>
      <c r="Q11" t="s">
        <v>43</v>
      </c>
      <c r="R11">
        <v>5775.406</v>
      </c>
      <c r="S11">
        <v>580.0187</v>
      </c>
      <c r="T11">
        <v>9.96</v>
      </c>
      <c r="U11">
        <v>0</v>
      </c>
      <c r="V11">
        <v>4638.591</v>
      </c>
      <c r="W11">
        <v>6912.222</v>
      </c>
      <c r="Y11" s="56">
        <f t="shared" si="0"/>
        <v>5687.56</v>
      </c>
      <c r="Z11">
        <f t="shared" si="1"/>
        <v>1120568241.9633186</v>
      </c>
      <c r="AA11">
        <f t="shared" si="2"/>
        <v>1118001030.587625</v>
      </c>
      <c r="AB11">
        <f t="shared" si="3"/>
        <v>1029113956.8977016</v>
      </c>
      <c r="AC11">
        <f t="shared" si="4"/>
        <v>1089227743.1495483</v>
      </c>
      <c r="AD11">
        <f t="shared" si="5"/>
        <v>20226.596030999935</v>
      </c>
      <c r="AE11">
        <f t="shared" si="6"/>
        <v>1089254711.9442563</v>
      </c>
      <c r="AF11" s="55">
        <f t="shared" si="7"/>
        <v>596.7260332781249</v>
      </c>
    </row>
    <row r="12" spans="1:32" ht="12.75">
      <c r="A12" t="s">
        <v>44</v>
      </c>
      <c r="B12">
        <v>2004.058</v>
      </c>
      <c r="C12">
        <v>481.3045</v>
      </c>
      <c r="D12" t="s">
        <v>114</v>
      </c>
      <c r="F12">
        <v>1060.718</v>
      </c>
      <c r="G12">
        <v>2947.398</v>
      </c>
      <c r="I12" t="s">
        <v>44</v>
      </c>
      <c r="J12">
        <v>2210.896</v>
      </c>
      <c r="K12">
        <v>480.7529</v>
      </c>
      <c r="L12">
        <v>4.6</v>
      </c>
      <c r="M12">
        <v>0</v>
      </c>
      <c r="N12">
        <v>1268.638</v>
      </c>
      <c r="O12">
        <v>3153.155</v>
      </c>
      <c r="Q12" t="s">
        <v>44</v>
      </c>
      <c r="R12">
        <v>1994.656</v>
      </c>
      <c r="S12">
        <v>461.2458</v>
      </c>
      <c r="T12">
        <v>4.32</v>
      </c>
      <c r="U12">
        <v>0</v>
      </c>
      <c r="V12">
        <v>1090.631</v>
      </c>
      <c r="W12">
        <v>2898.681</v>
      </c>
      <c r="Y12" s="56">
        <f t="shared" si="0"/>
        <v>2069.87</v>
      </c>
      <c r="Z12">
        <f t="shared" si="1"/>
        <v>708629652.4422449</v>
      </c>
      <c r="AA12">
        <f t="shared" si="2"/>
        <v>707006330.2758762</v>
      </c>
      <c r="AB12">
        <f t="shared" si="3"/>
        <v>650795177.6459607</v>
      </c>
      <c r="AC12">
        <f t="shared" si="4"/>
        <v>688810386.7880273</v>
      </c>
      <c r="AD12">
        <f t="shared" si="5"/>
        <v>14938.348908000029</v>
      </c>
      <c r="AE12">
        <f t="shared" si="6"/>
        <v>688830304.5865713</v>
      </c>
      <c r="AF12" s="55">
        <f t="shared" si="7"/>
        <v>474.5329613536928</v>
      </c>
    </row>
    <row r="13" spans="1:32" ht="12.75">
      <c r="A13" t="s">
        <v>45</v>
      </c>
      <c r="B13">
        <v>1959.635</v>
      </c>
      <c r="C13">
        <v>580.8336</v>
      </c>
      <c r="D13" t="s">
        <v>115</v>
      </c>
      <c r="F13">
        <v>821.2218</v>
      </c>
      <c r="G13">
        <v>3098.048</v>
      </c>
      <c r="I13" t="s">
        <v>45</v>
      </c>
      <c r="J13">
        <v>2217.53</v>
      </c>
      <c r="K13">
        <v>580.1678</v>
      </c>
      <c r="L13">
        <v>3.82</v>
      </c>
      <c r="M13">
        <v>0</v>
      </c>
      <c r="N13">
        <v>1080.422</v>
      </c>
      <c r="O13">
        <v>3354.638</v>
      </c>
      <c r="Q13" t="s">
        <v>45</v>
      </c>
      <c r="R13">
        <v>2188.878</v>
      </c>
      <c r="S13">
        <v>556.6269</v>
      </c>
      <c r="T13">
        <v>3.93</v>
      </c>
      <c r="U13">
        <v>0</v>
      </c>
      <c r="V13">
        <v>1097.909</v>
      </c>
      <c r="W13">
        <v>3279.846</v>
      </c>
      <c r="Y13" s="56">
        <f t="shared" si="0"/>
        <v>2122.0143333333335</v>
      </c>
      <c r="Z13">
        <f t="shared" si="1"/>
        <v>1032007705.249329</v>
      </c>
      <c r="AA13">
        <f t="shared" si="2"/>
        <v>1029643114.3637737</v>
      </c>
      <c r="AB13">
        <f t="shared" si="3"/>
        <v>947780694.253243</v>
      </c>
      <c r="AC13">
        <f t="shared" si="4"/>
        <v>1003143837.9554485</v>
      </c>
      <c r="AD13">
        <f t="shared" si="5"/>
        <v>19980.520196333364</v>
      </c>
      <c r="AE13">
        <f t="shared" si="6"/>
        <v>1003170478.6490436</v>
      </c>
      <c r="AF13" s="55">
        <f t="shared" si="7"/>
        <v>572.6610340374881</v>
      </c>
    </row>
    <row r="14" spans="1:32" ht="12.75">
      <c r="A14" t="s">
        <v>46</v>
      </c>
      <c r="B14">
        <v>1832.087</v>
      </c>
      <c r="C14">
        <v>860.27</v>
      </c>
      <c r="D14" t="s">
        <v>116</v>
      </c>
      <c r="F14">
        <v>145.9891</v>
      </c>
      <c r="G14">
        <v>3518.186</v>
      </c>
      <c r="I14" t="s">
        <v>46</v>
      </c>
      <c r="J14">
        <v>2768.936</v>
      </c>
      <c r="K14">
        <v>859.2839</v>
      </c>
      <c r="L14">
        <v>3.22</v>
      </c>
      <c r="M14">
        <v>0.001</v>
      </c>
      <c r="N14">
        <v>1084.77</v>
      </c>
      <c r="O14">
        <v>4453.101</v>
      </c>
      <c r="Q14" t="s">
        <v>46</v>
      </c>
      <c r="R14">
        <v>2114.215</v>
      </c>
      <c r="S14">
        <v>824.4177</v>
      </c>
      <c r="T14">
        <v>2.56</v>
      </c>
      <c r="U14">
        <v>0.01</v>
      </c>
      <c r="V14">
        <v>498.3865</v>
      </c>
      <c r="W14">
        <v>3730.044</v>
      </c>
      <c r="Y14" s="56">
        <f t="shared" si="0"/>
        <v>2238.4126666666666</v>
      </c>
      <c r="Z14">
        <f t="shared" si="1"/>
        <v>2263857222.6011004</v>
      </c>
      <c r="AA14">
        <f t="shared" si="2"/>
        <v>2258670222.8247833</v>
      </c>
      <c r="AB14">
        <f t="shared" si="3"/>
        <v>2079093840.3201938</v>
      </c>
      <c r="AC14">
        <f t="shared" si="4"/>
        <v>2200540428.582026</v>
      </c>
      <c r="AD14">
        <f t="shared" si="5"/>
        <v>230990.3075043334</v>
      </c>
      <c r="AE14">
        <f t="shared" si="6"/>
        <v>2200848415.6586986</v>
      </c>
      <c r="AF14" s="55">
        <f t="shared" si="7"/>
        <v>848.2137868475921</v>
      </c>
    </row>
    <row r="15" spans="1:32" ht="12.75">
      <c r="A15" t="s">
        <v>47</v>
      </c>
      <c r="B15">
        <v>9619.482</v>
      </c>
      <c r="C15">
        <v>908.1131</v>
      </c>
      <c r="D15" t="s">
        <v>117</v>
      </c>
      <c r="F15">
        <v>7839.613</v>
      </c>
      <c r="G15">
        <v>11399.35</v>
      </c>
      <c r="I15" t="s">
        <v>47</v>
      </c>
      <c r="J15">
        <v>9044.473</v>
      </c>
      <c r="K15">
        <v>907.0722</v>
      </c>
      <c r="L15">
        <v>9.97</v>
      </c>
      <c r="M15">
        <v>0</v>
      </c>
      <c r="N15">
        <v>7266.644</v>
      </c>
      <c r="O15">
        <v>10822.3</v>
      </c>
      <c r="Q15" t="s">
        <v>47</v>
      </c>
      <c r="R15">
        <v>9420.094</v>
      </c>
      <c r="S15">
        <v>870.2669</v>
      </c>
      <c r="T15">
        <v>10.82</v>
      </c>
      <c r="U15">
        <v>0</v>
      </c>
      <c r="V15">
        <v>7714.403</v>
      </c>
      <c r="W15">
        <v>11125.79</v>
      </c>
      <c r="Y15" s="56">
        <f t="shared" si="0"/>
        <v>9361.349666666667</v>
      </c>
      <c r="Z15">
        <f t="shared" si="1"/>
        <v>2522663701.9159355</v>
      </c>
      <c r="AA15">
        <f t="shared" si="2"/>
        <v>2516883946.6232777</v>
      </c>
      <c r="AB15">
        <f t="shared" si="3"/>
        <v>2316777935.863731</v>
      </c>
      <c r="AC15">
        <f t="shared" si="4"/>
        <v>2452108528.134315</v>
      </c>
      <c r="AD15">
        <f t="shared" si="5"/>
        <v>85247.0100443333</v>
      </c>
      <c r="AE15">
        <f t="shared" si="6"/>
        <v>2452222190.814374</v>
      </c>
      <c r="AF15" s="55">
        <f t="shared" si="7"/>
        <v>895.3445009358804</v>
      </c>
    </row>
    <row r="16" spans="1:32" ht="12.75">
      <c r="A16" t="s">
        <v>48</v>
      </c>
      <c r="B16">
        <v>-1136.352</v>
      </c>
      <c r="C16">
        <v>437.037</v>
      </c>
      <c r="D16" t="s">
        <v>118</v>
      </c>
      <c r="F16">
        <v>-1992.928</v>
      </c>
      <c r="G16">
        <v>-279.7749</v>
      </c>
      <c r="I16" t="s">
        <v>48</v>
      </c>
      <c r="J16">
        <v>-1457.989</v>
      </c>
      <c r="K16">
        <v>436.5361</v>
      </c>
      <c r="L16">
        <v>-3.34</v>
      </c>
      <c r="M16">
        <v>0.001</v>
      </c>
      <c r="N16">
        <v>-2313.584</v>
      </c>
      <c r="O16">
        <v>-602.3937</v>
      </c>
      <c r="Q16" t="s">
        <v>48</v>
      </c>
      <c r="R16">
        <v>-1294.396</v>
      </c>
      <c r="S16">
        <v>418.8232</v>
      </c>
      <c r="T16">
        <v>-3.09</v>
      </c>
      <c r="U16">
        <v>0.002</v>
      </c>
      <c r="V16">
        <v>-2115.274</v>
      </c>
      <c r="W16">
        <v>-473.5175</v>
      </c>
      <c r="Y16" s="56">
        <f t="shared" si="0"/>
        <v>-1296.2456666666667</v>
      </c>
      <c r="Z16">
        <f t="shared" si="1"/>
        <v>584273097.129771</v>
      </c>
      <c r="AA16">
        <f t="shared" si="2"/>
        <v>582934562.0392195</v>
      </c>
      <c r="AB16">
        <f t="shared" si="3"/>
        <v>536587978.0733561</v>
      </c>
      <c r="AC16">
        <f t="shared" si="4"/>
        <v>567931879.0807823</v>
      </c>
      <c r="AD16">
        <f t="shared" si="5"/>
        <v>25865.15589233332</v>
      </c>
      <c r="AE16">
        <f t="shared" si="6"/>
        <v>567966365.9553055</v>
      </c>
      <c r="AF16" s="55">
        <f t="shared" si="7"/>
        <v>430.89511505879443</v>
      </c>
    </row>
    <row r="17" spans="1:32" ht="12.75">
      <c r="A17" t="s">
        <v>49</v>
      </c>
      <c r="B17">
        <v>1182.695</v>
      </c>
      <c r="C17">
        <v>305.9041</v>
      </c>
      <c r="D17" t="s">
        <v>119</v>
      </c>
      <c r="F17">
        <v>583.1336</v>
      </c>
      <c r="G17">
        <v>1782.256</v>
      </c>
      <c r="I17" t="s">
        <v>49</v>
      </c>
      <c r="J17">
        <v>1067.506</v>
      </c>
      <c r="K17">
        <v>305.5534</v>
      </c>
      <c r="L17">
        <v>3.49</v>
      </c>
      <c r="M17">
        <v>0</v>
      </c>
      <c r="N17">
        <v>468.6327</v>
      </c>
      <c r="O17">
        <v>1666.38</v>
      </c>
      <c r="Q17" t="s">
        <v>49</v>
      </c>
      <c r="R17">
        <v>1218.122</v>
      </c>
      <c r="S17">
        <v>293.1553</v>
      </c>
      <c r="T17">
        <v>4.16</v>
      </c>
      <c r="U17">
        <v>0</v>
      </c>
      <c r="V17">
        <v>643.5483</v>
      </c>
      <c r="W17">
        <v>1792.696</v>
      </c>
      <c r="Y17" s="56">
        <f t="shared" si="0"/>
        <v>1156.1076666666668</v>
      </c>
      <c r="Z17">
        <f t="shared" si="1"/>
        <v>286253016.9758418</v>
      </c>
      <c r="AA17">
        <f t="shared" si="2"/>
        <v>285597050.6895221</v>
      </c>
      <c r="AB17">
        <f t="shared" si="3"/>
        <v>262890551.51943734</v>
      </c>
      <c r="AC17">
        <f t="shared" si="4"/>
        <v>278246873.0616004</v>
      </c>
      <c r="AD17">
        <f t="shared" si="5"/>
        <v>6201.459584333328</v>
      </c>
      <c r="AE17">
        <f t="shared" si="6"/>
        <v>278255141.6743795</v>
      </c>
      <c r="AF17" s="55">
        <f t="shared" si="7"/>
        <v>301.6003634500575</v>
      </c>
    </row>
    <row r="18" spans="1:32" ht="12.75">
      <c r="A18" t="s">
        <v>50</v>
      </c>
      <c r="B18">
        <v>278.3634</v>
      </c>
      <c r="C18">
        <v>499.3224</v>
      </c>
      <c r="D18" t="s">
        <v>120</v>
      </c>
      <c r="F18">
        <v>-700.2905</v>
      </c>
      <c r="G18">
        <v>1257.017</v>
      </c>
      <c r="I18" t="s">
        <v>50</v>
      </c>
      <c r="J18">
        <v>27.53664</v>
      </c>
      <c r="K18">
        <v>498.75</v>
      </c>
      <c r="L18">
        <v>0.06</v>
      </c>
      <c r="M18">
        <v>0.956</v>
      </c>
      <c r="N18">
        <v>-949.9955</v>
      </c>
      <c r="O18">
        <v>1005.069</v>
      </c>
      <c r="Q18" t="s">
        <v>50</v>
      </c>
      <c r="R18">
        <v>194.7395</v>
      </c>
      <c r="S18">
        <v>478.5128</v>
      </c>
      <c r="T18">
        <v>0.41</v>
      </c>
      <c r="U18">
        <v>0.684</v>
      </c>
      <c r="V18">
        <v>-743.1283</v>
      </c>
      <c r="W18">
        <v>1132.607</v>
      </c>
      <c r="Y18" s="56">
        <f t="shared" si="0"/>
        <v>166.87984666666668</v>
      </c>
      <c r="Z18">
        <f t="shared" si="1"/>
        <v>762678626.1146439</v>
      </c>
      <c r="AA18">
        <f t="shared" si="2"/>
        <v>760931029.6875001</v>
      </c>
      <c r="AB18">
        <f t="shared" si="3"/>
        <v>700432994.7775866</v>
      </c>
      <c r="AC18">
        <f t="shared" si="4"/>
        <v>741347550.1932435</v>
      </c>
      <c r="AD18">
        <f t="shared" si="5"/>
        <v>16310.636095914535</v>
      </c>
      <c r="AE18">
        <f t="shared" si="6"/>
        <v>741369297.7080381</v>
      </c>
      <c r="AF18" s="55">
        <f t="shared" si="7"/>
        <v>492.29742008549096</v>
      </c>
    </row>
    <row r="19" spans="1:32" ht="12.75">
      <c r="A19" t="s">
        <v>51</v>
      </c>
      <c r="B19">
        <v>1223.132</v>
      </c>
      <c r="C19">
        <v>311.9946</v>
      </c>
      <c r="D19" t="s">
        <v>121</v>
      </c>
      <c r="F19">
        <v>611.6336</v>
      </c>
      <c r="G19">
        <v>1834.63</v>
      </c>
      <c r="I19" t="s">
        <v>51</v>
      </c>
      <c r="J19">
        <v>1258.865</v>
      </c>
      <c r="K19">
        <v>311.637</v>
      </c>
      <c r="L19">
        <v>4.04</v>
      </c>
      <c r="M19">
        <v>0</v>
      </c>
      <c r="N19">
        <v>648.0677</v>
      </c>
      <c r="O19">
        <v>1869.662</v>
      </c>
      <c r="Q19" t="s">
        <v>51</v>
      </c>
      <c r="R19">
        <v>1268.077</v>
      </c>
      <c r="S19">
        <v>298.992</v>
      </c>
      <c r="T19">
        <v>4.24</v>
      </c>
      <c r="U19">
        <v>0</v>
      </c>
      <c r="V19">
        <v>682.0635</v>
      </c>
      <c r="W19">
        <v>1854.091</v>
      </c>
      <c r="Y19" s="56">
        <f t="shared" si="0"/>
        <v>1250.0246666666667</v>
      </c>
      <c r="Z19">
        <f t="shared" si="1"/>
        <v>297764988.4828004</v>
      </c>
      <c r="AA19">
        <f t="shared" si="2"/>
        <v>297082798.87337106</v>
      </c>
      <c r="AB19">
        <f t="shared" si="3"/>
        <v>273463024.939776</v>
      </c>
      <c r="AC19">
        <f t="shared" si="4"/>
        <v>289436937.4319825</v>
      </c>
      <c r="AD19">
        <f t="shared" si="5"/>
        <v>563.6268763333318</v>
      </c>
      <c r="AE19">
        <f t="shared" si="6"/>
        <v>289437688.9344843</v>
      </c>
      <c r="AF19" s="55">
        <f t="shared" si="7"/>
        <v>307.6010420822026</v>
      </c>
    </row>
    <row r="20" spans="1:32" ht="12.75">
      <c r="A20" t="s">
        <v>52</v>
      </c>
      <c r="B20">
        <v>1872.36</v>
      </c>
      <c r="C20">
        <v>448.4452</v>
      </c>
      <c r="D20" t="s">
        <v>122</v>
      </c>
      <c r="F20">
        <v>993.4233</v>
      </c>
      <c r="G20">
        <v>2751.296</v>
      </c>
      <c r="I20" t="s">
        <v>52</v>
      </c>
      <c r="J20">
        <v>2177.762</v>
      </c>
      <c r="K20">
        <v>447.9312</v>
      </c>
      <c r="L20">
        <v>4.86</v>
      </c>
      <c r="M20">
        <v>0</v>
      </c>
      <c r="N20">
        <v>1299.833</v>
      </c>
      <c r="O20">
        <v>3055.691</v>
      </c>
      <c r="Q20" t="s">
        <v>52</v>
      </c>
      <c r="R20">
        <v>1919.373</v>
      </c>
      <c r="S20">
        <v>429.7559</v>
      </c>
      <c r="T20">
        <v>4.47</v>
      </c>
      <c r="U20">
        <v>0</v>
      </c>
      <c r="V20">
        <v>1077.066</v>
      </c>
      <c r="W20">
        <v>2761.679</v>
      </c>
      <c r="Y20" s="56">
        <f t="shared" si="0"/>
        <v>1989.8316666666667</v>
      </c>
      <c r="Z20">
        <f t="shared" si="1"/>
        <v>615174374.9558994</v>
      </c>
      <c r="AA20">
        <f t="shared" si="2"/>
        <v>613764979.036393</v>
      </c>
      <c r="AB20">
        <f t="shared" si="3"/>
        <v>564967118.6359338</v>
      </c>
      <c r="AC20">
        <f t="shared" si="4"/>
        <v>597968824.2094088</v>
      </c>
      <c r="AD20">
        <f t="shared" si="5"/>
        <v>27040.913182333374</v>
      </c>
      <c r="AE20">
        <f t="shared" si="6"/>
        <v>598004878.7603185</v>
      </c>
      <c r="AF20" s="55">
        <f t="shared" si="7"/>
        <v>442.14286909531114</v>
      </c>
    </row>
    <row r="21" spans="1:32" ht="12.75">
      <c r="A21" t="s">
        <v>53</v>
      </c>
      <c r="B21">
        <v>302.2251</v>
      </c>
      <c r="C21">
        <v>515.2179</v>
      </c>
      <c r="D21" t="s">
        <v>123</v>
      </c>
      <c r="F21">
        <v>-707.5835</v>
      </c>
      <c r="G21">
        <v>1312.034</v>
      </c>
      <c r="I21" t="s">
        <v>53</v>
      </c>
      <c r="J21">
        <v>560.5008</v>
      </c>
      <c r="K21">
        <v>514.6274</v>
      </c>
      <c r="L21">
        <v>1.09</v>
      </c>
      <c r="M21">
        <v>0.276</v>
      </c>
      <c r="N21">
        <v>-448.1503</v>
      </c>
      <c r="O21">
        <v>1569.152</v>
      </c>
      <c r="Q21" t="s">
        <v>53</v>
      </c>
      <c r="R21">
        <v>304.8169</v>
      </c>
      <c r="S21">
        <v>493.7459</v>
      </c>
      <c r="T21">
        <v>0.62</v>
      </c>
      <c r="U21">
        <v>0.537</v>
      </c>
      <c r="V21">
        <v>-662.9073</v>
      </c>
      <c r="W21">
        <v>1272.541</v>
      </c>
      <c r="Y21" s="56">
        <f t="shared" si="0"/>
        <v>389.18093333333337</v>
      </c>
      <c r="Z21">
        <f t="shared" si="1"/>
        <v>812009973.0255743</v>
      </c>
      <c r="AA21">
        <f t="shared" si="2"/>
        <v>810149722.7812948</v>
      </c>
      <c r="AB21">
        <f t="shared" si="3"/>
        <v>745738357.112672</v>
      </c>
      <c r="AC21">
        <f t="shared" si="4"/>
        <v>789299350.9731803</v>
      </c>
      <c r="AD21">
        <f t="shared" si="5"/>
        <v>22014.55189282334</v>
      </c>
      <c r="AE21">
        <f t="shared" si="6"/>
        <v>789328703.7090374</v>
      </c>
      <c r="AF21" s="55">
        <f t="shared" si="7"/>
        <v>507.9713396368547</v>
      </c>
    </row>
    <row r="22" spans="1:32" ht="12.75">
      <c r="A22" t="s">
        <v>54</v>
      </c>
      <c r="B22">
        <v>2005.366</v>
      </c>
      <c r="C22">
        <v>768.2209</v>
      </c>
      <c r="D22" t="s">
        <v>124</v>
      </c>
      <c r="F22">
        <v>499.6812</v>
      </c>
      <c r="G22">
        <v>3511.052</v>
      </c>
      <c r="I22" t="s">
        <v>54</v>
      </c>
      <c r="J22">
        <v>1762.723</v>
      </c>
      <c r="K22">
        <v>767.3403</v>
      </c>
      <c r="L22">
        <v>2.3</v>
      </c>
      <c r="M22">
        <v>0.022</v>
      </c>
      <c r="N22">
        <v>258.7634</v>
      </c>
      <c r="O22">
        <v>3266.682</v>
      </c>
      <c r="Q22" t="s">
        <v>54</v>
      </c>
      <c r="R22">
        <v>1757.299</v>
      </c>
      <c r="S22">
        <v>736.2047</v>
      </c>
      <c r="T22">
        <v>2.39</v>
      </c>
      <c r="U22">
        <v>0.017</v>
      </c>
      <c r="V22">
        <v>314.3643</v>
      </c>
      <c r="W22">
        <v>3200.234</v>
      </c>
      <c r="Y22" s="56">
        <f t="shared" si="0"/>
        <v>1841.796</v>
      </c>
      <c r="Z22">
        <f t="shared" si="1"/>
        <v>1805309691.3110418</v>
      </c>
      <c r="AA22">
        <f t="shared" si="2"/>
        <v>1801173265.036511</v>
      </c>
      <c r="AB22">
        <f t="shared" si="3"/>
        <v>1657969925.1640935</v>
      </c>
      <c r="AC22">
        <f t="shared" si="4"/>
        <v>1754817627.1705487</v>
      </c>
      <c r="AD22">
        <f t="shared" si="5"/>
        <v>20073.713619000002</v>
      </c>
      <c r="AE22">
        <f t="shared" si="6"/>
        <v>1754844392.1220407</v>
      </c>
      <c r="AF22" s="55">
        <f t="shared" si="7"/>
        <v>757.4074412603226</v>
      </c>
    </row>
    <row r="23" spans="1:32" ht="12.75">
      <c r="A23" t="s">
        <v>55</v>
      </c>
      <c r="B23">
        <v>-386.78</v>
      </c>
      <c r="C23">
        <v>419.4241</v>
      </c>
      <c r="D23" t="s">
        <v>125</v>
      </c>
      <c r="F23">
        <v>-1208.836</v>
      </c>
      <c r="G23">
        <v>435.2763</v>
      </c>
      <c r="I23" t="s">
        <v>55</v>
      </c>
      <c r="J23">
        <v>-773.2903</v>
      </c>
      <c r="K23">
        <v>418.9434</v>
      </c>
      <c r="L23">
        <v>-1.85</v>
      </c>
      <c r="M23">
        <v>0.065</v>
      </c>
      <c r="N23">
        <v>-1594.404</v>
      </c>
      <c r="O23">
        <v>47.82362</v>
      </c>
      <c r="Q23" t="s">
        <v>55</v>
      </c>
      <c r="R23">
        <v>-564.2926</v>
      </c>
      <c r="S23">
        <v>401.9444</v>
      </c>
      <c r="T23">
        <v>-1.4</v>
      </c>
      <c r="U23">
        <v>0.16</v>
      </c>
      <c r="V23">
        <v>-1352.089</v>
      </c>
      <c r="W23">
        <v>223.5039</v>
      </c>
      <c r="Y23" s="56">
        <f t="shared" si="0"/>
        <v>-574.7876333333332</v>
      </c>
      <c r="Z23">
        <f t="shared" si="1"/>
        <v>538128804.9464178</v>
      </c>
      <c r="AA23">
        <f t="shared" si="2"/>
        <v>536896017.98249</v>
      </c>
      <c r="AB23">
        <f t="shared" si="3"/>
        <v>494209900.8148703</v>
      </c>
      <c r="AC23">
        <f t="shared" si="4"/>
        <v>523078241.24792606</v>
      </c>
      <c r="AD23">
        <f t="shared" si="5"/>
        <v>37430.162295023336</v>
      </c>
      <c r="AE23">
        <f t="shared" si="6"/>
        <v>523128148.1309861</v>
      </c>
      <c r="AF23" s="55">
        <f t="shared" si="7"/>
        <v>413.536936305706</v>
      </c>
    </row>
    <row r="24" spans="1:32" ht="12.75">
      <c r="A24" t="s">
        <v>23</v>
      </c>
      <c r="B24">
        <v>2849.243</v>
      </c>
      <c r="C24">
        <v>130.2293</v>
      </c>
      <c r="D24" t="s">
        <v>126</v>
      </c>
      <c r="F24">
        <v>2593.999</v>
      </c>
      <c r="G24">
        <v>3104.488</v>
      </c>
      <c r="I24" t="s">
        <v>23</v>
      </c>
      <c r="J24">
        <v>2751.462</v>
      </c>
      <c r="K24">
        <v>130.08</v>
      </c>
      <c r="L24">
        <v>21.15</v>
      </c>
      <c r="M24">
        <v>0</v>
      </c>
      <c r="N24">
        <v>2496.51</v>
      </c>
      <c r="O24">
        <v>3006.414</v>
      </c>
      <c r="Q24" t="s">
        <v>23</v>
      </c>
      <c r="R24">
        <v>2806.279</v>
      </c>
      <c r="S24">
        <v>124.8019</v>
      </c>
      <c r="T24">
        <v>22.49</v>
      </c>
      <c r="U24">
        <v>0</v>
      </c>
      <c r="V24">
        <v>2561.672</v>
      </c>
      <c r="W24">
        <v>3050.886</v>
      </c>
      <c r="Y24" s="56">
        <f t="shared" si="0"/>
        <v>2802.328</v>
      </c>
      <c r="Z24">
        <f t="shared" si="1"/>
        <v>51879632.29960091</v>
      </c>
      <c r="AA24">
        <f t="shared" si="2"/>
        <v>51760746.77760001</v>
      </c>
      <c r="AB24">
        <f t="shared" si="3"/>
        <v>47645498.071203</v>
      </c>
      <c r="AC24">
        <f t="shared" si="4"/>
        <v>50428625.71613464</v>
      </c>
      <c r="AD24">
        <f t="shared" si="5"/>
        <v>2401.9887909999975</v>
      </c>
      <c r="AE24">
        <f t="shared" si="6"/>
        <v>50431828.36785597</v>
      </c>
      <c r="AF24" s="55">
        <f t="shared" si="7"/>
        <v>128.3992888131401</v>
      </c>
    </row>
    <row r="25" spans="3:4" ht="12.75">
      <c r="C25" t="s">
        <v>80</v>
      </c>
      <c r="D25" s="5"/>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8"/>
  <dimension ref="A1:X13"/>
  <sheetViews>
    <sheetView workbookViewId="0" topLeftCell="A1">
      <selection activeCell="F26" sqref="F26"/>
    </sheetView>
  </sheetViews>
  <sheetFormatPr defaultColWidth="9.140625" defaultRowHeight="12.75"/>
  <sheetData>
    <row r="1" ht="26.25">
      <c r="A1" s="53" t="s">
        <v>96</v>
      </c>
    </row>
    <row r="2" ht="12.75">
      <c r="A2" s="11" t="s">
        <v>84</v>
      </c>
    </row>
    <row r="4" spans="1:18" ht="18">
      <c r="A4" s="59" t="s">
        <v>97</v>
      </c>
      <c r="B4" s="28"/>
      <c r="I4" s="59" t="s">
        <v>104</v>
      </c>
      <c r="J4" s="28"/>
      <c r="Q4" s="59" t="s">
        <v>103</v>
      </c>
      <c r="R4" s="28"/>
    </row>
    <row r="6" ht="12.75">
      <c r="B6" s="8" t="s">
        <v>98</v>
      </c>
    </row>
    <row r="7" spans="1:24" ht="12.75">
      <c r="A7" t="s">
        <v>21</v>
      </c>
      <c r="B7" s="54">
        <v>0.0227827</v>
      </c>
      <c r="C7" s="54">
        <v>0.0049615</v>
      </c>
      <c r="D7" s="4">
        <v>4.59</v>
      </c>
      <c r="E7" s="4">
        <v>0</v>
      </c>
      <c r="F7" s="4">
        <v>0.0130583</v>
      </c>
      <c r="G7" s="4">
        <v>0.0325071</v>
      </c>
      <c r="I7" t="s">
        <v>21</v>
      </c>
      <c r="J7" s="54">
        <v>0.0025997</v>
      </c>
      <c r="K7" s="54">
        <v>0.0027385</v>
      </c>
      <c r="L7" s="4">
        <v>0.95</v>
      </c>
      <c r="M7" s="4">
        <v>0.342</v>
      </c>
      <c r="N7" s="4">
        <v>-0.0027675</v>
      </c>
      <c r="O7" s="4">
        <v>0.007967</v>
      </c>
      <c r="P7" s="4"/>
      <c r="Q7" t="s">
        <v>21</v>
      </c>
      <c r="R7" s="54">
        <v>0.2010958</v>
      </c>
      <c r="S7" s="54">
        <v>0.2488167</v>
      </c>
      <c r="T7" s="4">
        <v>0.81</v>
      </c>
      <c r="U7" s="4">
        <v>0.419</v>
      </c>
      <c r="V7" s="4">
        <v>-0.2867831</v>
      </c>
      <c r="W7" s="4">
        <v>0.6889747</v>
      </c>
      <c r="X7" s="4"/>
    </row>
    <row r="8" spans="1:24" ht="12.75">
      <c r="A8" t="s">
        <v>22</v>
      </c>
      <c r="B8" s="54">
        <v>-0.6042957</v>
      </c>
      <c r="C8" s="54">
        <v>0.0975647</v>
      </c>
      <c r="D8" s="4">
        <v>-6.19</v>
      </c>
      <c r="E8" s="4">
        <v>0</v>
      </c>
      <c r="F8" s="4">
        <v>-0.795519</v>
      </c>
      <c r="G8" s="4">
        <v>-0.4130724</v>
      </c>
      <c r="I8" t="s">
        <v>22</v>
      </c>
      <c r="J8" s="54">
        <v>-0.2285049</v>
      </c>
      <c r="K8" s="54">
        <v>0.0497871</v>
      </c>
      <c r="L8" s="4">
        <v>-4.59</v>
      </c>
      <c r="M8" s="4">
        <v>0</v>
      </c>
      <c r="N8" s="4">
        <v>-0.3260858</v>
      </c>
      <c r="O8" s="4">
        <v>-0.1309239</v>
      </c>
      <c r="P8" s="4"/>
      <c r="Q8" t="s">
        <v>22</v>
      </c>
      <c r="R8" s="54">
        <v>-20.31095</v>
      </c>
      <c r="S8" s="54">
        <v>4.384699</v>
      </c>
      <c r="T8" s="4">
        <v>-4.63</v>
      </c>
      <c r="U8" s="4">
        <v>0</v>
      </c>
      <c r="V8" s="4">
        <v>-28.90845</v>
      </c>
      <c r="W8" s="4">
        <v>-11.71345</v>
      </c>
      <c r="X8" s="4"/>
    </row>
    <row r="9" spans="1:24" ht="12.75">
      <c r="A9" t="s">
        <v>99</v>
      </c>
      <c r="B9" s="54">
        <v>1.142173</v>
      </c>
      <c r="C9" s="54">
        <v>0.4675178</v>
      </c>
      <c r="D9" s="4">
        <v>2.44</v>
      </c>
      <c r="E9" s="4">
        <v>0.015</v>
      </c>
      <c r="F9" s="4">
        <v>0.2258548</v>
      </c>
      <c r="G9" s="4">
        <v>2.058491</v>
      </c>
      <c r="I9" t="s">
        <v>99</v>
      </c>
      <c r="J9" s="54">
        <v>0.5014806</v>
      </c>
      <c r="K9" s="54">
        <v>0.1558306</v>
      </c>
      <c r="L9" s="4">
        <v>3.22</v>
      </c>
      <c r="M9" s="4">
        <v>0.001</v>
      </c>
      <c r="N9" s="4">
        <v>0.1960582</v>
      </c>
      <c r="O9" s="4">
        <v>0.806903</v>
      </c>
      <c r="P9" s="4"/>
      <c r="Q9" t="s">
        <v>99</v>
      </c>
      <c r="R9" s="54">
        <v>48.72589</v>
      </c>
      <c r="S9" s="54">
        <v>13.7335</v>
      </c>
      <c r="T9" s="4">
        <v>3.55</v>
      </c>
      <c r="U9" s="4">
        <v>0</v>
      </c>
      <c r="V9" s="4">
        <v>21.79729</v>
      </c>
      <c r="W9" s="4">
        <v>75.65448</v>
      </c>
      <c r="X9" s="4"/>
    </row>
    <row r="10" spans="1:24" ht="12.75">
      <c r="A10" t="s">
        <v>100</v>
      </c>
      <c r="B10" s="54">
        <v>2.180856</v>
      </c>
      <c r="C10" s="54">
        <v>1.014017</v>
      </c>
      <c r="D10" s="4">
        <v>2.15</v>
      </c>
      <c r="E10" s="4">
        <v>0.031</v>
      </c>
      <c r="F10" s="4">
        <v>0.1934195</v>
      </c>
      <c r="G10" s="4">
        <v>4.168293</v>
      </c>
      <c r="I10" t="s">
        <v>100</v>
      </c>
      <c r="J10" s="54">
        <v>0.2914872</v>
      </c>
      <c r="K10" s="54">
        <v>0.1923169</v>
      </c>
      <c r="L10" s="4">
        <v>1.52</v>
      </c>
      <c r="M10" s="4">
        <v>0.13</v>
      </c>
      <c r="N10" s="4">
        <v>-0.085447</v>
      </c>
      <c r="O10" s="4">
        <v>0.6684214</v>
      </c>
      <c r="P10" s="4"/>
      <c r="Q10" t="s">
        <v>100</v>
      </c>
      <c r="R10" s="54">
        <v>38.99046</v>
      </c>
      <c r="S10" s="54">
        <v>16.85394</v>
      </c>
      <c r="T10" s="4">
        <v>2.31</v>
      </c>
      <c r="U10" s="4">
        <v>0.021</v>
      </c>
      <c r="V10" s="4">
        <v>5.943324</v>
      </c>
      <c r="W10" s="4">
        <v>72.0376</v>
      </c>
      <c r="X10" s="4"/>
    </row>
    <row r="11" spans="1:24" ht="12.75">
      <c r="A11" t="s">
        <v>101</v>
      </c>
      <c r="B11" s="54">
        <v>0.7199219</v>
      </c>
      <c r="C11" s="54">
        <v>0.169937</v>
      </c>
      <c r="D11" s="4">
        <v>4.24</v>
      </c>
      <c r="E11" s="4">
        <v>0</v>
      </c>
      <c r="F11" s="4">
        <v>0.3868516</v>
      </c>
      <c r="G11" s="4">
        <v>1.052992</v>
      </c>
      <c r="I11" t="s">
        <v>101</v>
      </c>
      <c r="J11" s="54">
        <v>0.358418</v>
      </c>
      <c r="K11" s="54">
        <v>0.0718487</v>
      </c>
      <c r="L11" s="4">
        <v>4.99</v>
      </c>
      <c r="M11" s="4">
        <v>0</v>
      </c>
      <c r="N11" s="4">
        <v>0.2175971</v>
      </c>
      <c r="O11" s="4">
        <v>0.4992389</v>
      </c>
      <c r="P11" s="4"/>
      <c r="Q11" t="s">
        <v>101</v>
      </c>
      <c r="R11" s="54">
        <v>35.13591</v>
      </c>
      <c r="S11" s="54">
        <v>6.317232</v>
      </c>
      <c r="T11" s="4">
        <v>5.56</v>
      </c>
      <c r="U11" s="4">
        <v>0</v>
      </c>
      <c r="V11" s="4">
        <v>22.74911</v>
      </c>
      <c r="W11" s="4">
        <v>47.52272</v>
      </c>
      <c r="X11" s="4"/>
    </row>
    <row r="12" spans="1:24" ht="12.75">
      <c r="A12" t="s">
        <v>102</v>
      </c>
      <c r="B12" s="54">
        <v>0.4556767</v>
      </c>
      <c r="C12" s="54">
        <v>0.2285111</v>
      </c>
      <c r="D12" s="4">
        <v>1.99</v>
      </c>
      <c r="E12" s="4">
        <v>0.046</v>
      </c>
      <c r="F12" s="4">
        <v>0.0078031</v>
      </c>
      <c r="G12" s="4">
        <v>0.9035502</v>
      </c>
      <c r="I12" t="s">
        <v>102</v>
      </c>
      <c r="J12" s="54">
        <v>0.2040193</v>
      </c>
      <c r="K12" s="54">
        <v>0.0960479</v>
      </c>
      <c r="L12" s="4">
        <v>2.12</v>
      </c>
      <c r="M12" s="4">
        <v>0.034</v>
      </c>
      <c r="N12" s="4">
        <v>0.0157689</v>
      </c>
      <c r="O12" s="4">
        <v>0.3922697</v>
      </c>
      <c r="P12" s="4"/>
      <c r="Q12" t="s">
        <v>102</v>
      </c>
      <c r="R12" s="54">
        <v>22.91391</v>
      </c>
      <c r="S12" s="54">
        <v>8.456806</v>
      </c>
      <c r="T12" s="4">
        <v>2.71</v>
      </c>
      <c r="U12" s="4">
        <v>0.007</v>
      </c>
      <c r="V12" s="4">
        <v>6.331837</v>
      </c>
      <c r="W12" s="4">
        <v>39.49598</v>
      </c>
      <c r="X12" s="4"/>
    </row>
    <row r="13" spans="1:24" ht="12.75">
      <c r="A13" t="s">
        <v>23</v>
      </c>
      <c r="B13" s="54">
        <v>1.657592</v>
      </c>
      <c r="C13" s="54">
        <v>0.0861461</v>
      </c>
      <c r="D13" s="4">
        <v>19.24</v>
      </c>
      <c r="E13" s="4">
        <v>0</v>
      </c>
      <c r="F13" s="4">
        <v>1.488749</v>
      </c>
      <c r="G13" s="4">
        <v>1.826435</v>
      </c>
      <c r="I13" t="s">
        <v>23</v>
      </c>
      <c r="J13" s="54">
        <v>4.474605</v>
      </c>
      <c r="K13" s="54">
        <v>0.0437584</v>
      </c>
      <c r="L13" s="4">
        <v>102.26</v>
      </c>
      <c r="M13" s="4">
        <v>0</v>
      </c>
      <c r="N13" s="4">
        <v>4.38884</v>
      </c>
      <c r="O13" s="4">
        <v>4.56037</v>
      </c>
      <c r="P13" s="4"/>
      <c r="Q13" t="s">
        <v>23</v>
      </c>
      <c r="R13" s="54">
        <v>88.73851</v>
      </c>
      <c r="S13" s="54">
        <v>3.881411</v>
      </c>
      <c r="T13" s="4">
        <v>22.86</v>
      </c>
      <c r="U13" s="4">
        <v>0</v>
      </c>
      <c r="V13" s="4">
        <v>81.12786</v>
      </c>
      <c r="W13" s="4">
        <v>96.34917</v>
      </c>
      <c r="X13" s="4"/>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Phillip Clarke</dc:creator>
  <cp:keywords/>
  <dc:description/>
  <cp:lastModifiedBy>K Johnston</cp:lastModifiedBy>
  <dcterms:created xsi:type="dcterms:W3CDTF">2001-10-04T13:19:38Z</dcterms:created>
  <dcterms:modified xsi:type="dcterms:W3CDTF">2003-06-09T15:52:39Z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-528176688</vt:i4>
  </property>
  <property fmtid="{D5CDD505-2E9C-101B-9397-08002B2CF9AE}" pid="3" name="_EmailSubject">
    <vt:lpwstr>UKPDS65 paper on web</vt:lpwstr>
  </property>
  <property fmtid="{D5CDD505-2E9C-101B-9397-08002B2CF9AE}" pid="4" name="_AuthorEmail">
    <vt:lpwstr>alastair.gray@ihs.ox.ac.uk</vt:lpwstr>
  </property>
  <property fmtid="{D5CDD505-2E9C-101B-9397-08002B2CF9AE}" pid="5" name="_AuthorEmailDisplayName">
    <vt:lpwstr>Alastair Gray</vt:lpwstr>
  </property>
  <property fmtid="{D5CDD505-2E9C-101B-9397-08002B2CF9AE}" pid="6" name="_PreviousAdHocReviewCycleID">
    <vt:i4>-1236788992</vt:i4>
  </property>
</Properties>
</file>